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600" windowHeight="6795"/>
  </bookViews>
  <sheets>
    <sheet name="StemCells" sheetId="3" r:id="rId1"/>
    <sheet name="Input_Calculations" sheetId="1" r:id="rId2"/>
    <sheet name="Output" sheetId="2" r:id="rId3"/>
  </sheets>
  <calcPr calcId="125725"/>
</workbook>
</file>

<file path=xl/calcChain.xml><?xml version="1.0" encoding="utf-8"?>
<calcChain xmlns="http://schemas.openxmlformats.org/spreadsheetml/2006/main">
  <c r="E27" i="3"/>
  <c r="J30"/>
  <c r="J28"/>
  <c r="B27"/>
  <c r="B30" s="1"/>
  <c r="B28" s="1"/>
  <c r="J14"/>
  <c r="I14"/>
  <c r="H14"/>
  <c r="G14"/>
  <c r="F14"/>
  <c r="E14"/>
  <c r="D14"/>
  <c r="C14"/>
  <c r="B14"/>
  <c r="H12"/>
  <c r="H16" s="1"/>
  <c r="H18" s="1"/>
  <c r="H20" s="1"/>
  <c r="F12"/>
  <c r="F16" s="1"/>
  <c r="F18" s="1"/>
  <c r="F20" s="1"/>
  <c r="D12"/>
  <c r="D16" s="1"/>
  <c r="D18" s="1"/>
  <c r="D20" s="1"/>
  <c r="B12"/>
  <c r="B16" s="1"/>
  <c r="B18" s="1"/>
  <c r="B20" s="1"/>
  <c r="J10"/>
  <c r="J12" s="1"/>
  <c r="J16" s="1"/>
  <c r="J18" s="1"/>
  <c r="J20" s="1"/>
  <c r="J23" s="1"/>
  <c r="J26" s="1"/>
  <c r="J27" s="1"/>
  <c r="I10"/>
  <c r="I12" s="1"/>
  <c r="I16" s="1"/>
  <c r="I18" s="1"/>
  <c r="I20" s="1"/>
  <c r="H10"/>
  <c r="G10"/>
  <c r="G12" s="1"/>
  <c r="G16" s="1"/>
  <c r="G18" s="1"/>
  <c r="G20" s="1"/>
  <c r="F10"/>
  <c r="E10"/>
  <c r="E12" s="1"/>
  <c r="E16" s="1"/>
  <c r="E18" s="1"/>
  <c r="E20" s="1"/>
  <c r="D10"/>
  <c r="C10"/>
  <c r="C12" s="1"/>
  <c r="C16" s="1"/>
  <c r="C18" s="1"/>
  <c r="C20" s="1"/>
  <c r="B10"/>
  <c r="H3" i="2" l="1"/>
  <c r="G3"/>
  <c r="B107" i="1"/>
  <c r="F3" i="2"/>
  <c r="E3"/>
  <c r="D3"/>
  <c r="A3"/>
  <c r="E14" i="1"/>
  <c r="E13"/>
  <c r="E12"/>
  <c r="E15"/>
  <c r="C32"/>
  <c r="E30" s="1"/>
  <c r="B169"/>
  <c r="B168"/>
  <c r="B126"/>
  <c r="B125"/>
  <c r="B84"/>
  <c r="B83"/>
  <c r="B57"/>
  <c r="B56"/>
  <c r="B48" a="1"/>
  <c r="C48" s="1"/>
  <c r="F35"/>
  <c r="H33" s="1"/>
  <c r="E35"/>
  <c r="H32" s="1"/>
  <c r="D35"/>
  <c r="C35"/>
  <c r="B35"/>
  <c r="F33"/>
  <c r="E33"/>
  <c r="F32" s="1"/>
  <c r="D33"/>
  <c r="F31" s="1"/>
  <c r="C33"/>
  <c r="F30" s="1"/>
  <c r="B33"/>
  <c r="F29" s="1"/>
  <c r="E32"/>
  <c r="D32"/>
  <c r="E31" s="1"/>
  <c r="B32"/>
  <c r="E29" s="1"/>
  <c r="D31"/>
  <c r="C31"/>
  <c r="D30" s="1"/>
  <c r="B31"/>
  <c r="C30"/>
  <c r="B30"/>
  <c r="C29" s="1"/>
  <c r="H29"/>
  <c r="D29"/>
  <c r="B29"/>
  <c r="D37" l="1"/>
  <c r="B41"/>
  <c r="F40"/>
  <c r="C41"/>
  <c r="E41"/>
  <c r="B37"/>
  <c r="F37"/>
  <c r="C37"/>
  <c r="E37"/>
  <c r="E40"/>
  <c r="F41"/>
  <c r="B40"/>
  <c r="D40"/>
  <c r="B48"/>
  <c r="C40"/>
  <c r="H31"/>
  <c r="B39" s="1"/>
  <c r="D41"/>
  <c r="H30"/>
  <c r="F38" s="1"/>
  <c r="B38" l="1"/>
  <c r="E38"/>
  <c r="D39"/>
  <c r="C38"/>
  <c r="C39"/>
  <c r="D38"/>
  <c r="E39"/>
  <c r="F39"/>
  <c r="B50" l="1" a="1"/>
  <c r="B50" l="1"/>
  <c r="B51"/>
  <c r="B53" l="1"/>
  <c r="B58" s="1"/>
  <c r="B54" l="1"/>
  <c r="B59"/>
  <c r="B60" s="1"/>
  <c r="B70" l="1"/>
  <c r="B64"/>
  <c r="D60"/>
  <c r="B71"/>
  <c r="B65"/>
  <c r="B61"/>
  <c r="B63" s="1"/>
  <c r="B74" l="1" a="1"/>
  <c r="B76" a="1"/>
  <c r="D91"/>
  <c r="F91"/>
  <c r="E60"/>
  <c r="E91" s="1"/>
  <c r="B66" l="1"/>
  <c r="B67" s="1"/>
  <c r="B74"/>
  <c r="C74"/>
  <c r="D74"/>
  <c r="B76"/>
  <c r="B77"/>
  <c r="B78"/>
  <c r="B100" l="1"/>
  <c r="F24" i="2"/>
  <c r="F4" s="1"/>
  <c r="B80" i="1"/>
  <c r="B81" l="1"/>
  <c r="B85"/>
  <c r="B86" l="1"/>
  <c r="B87" s="1"/>
  <c r="B112" l="1"/>
  <c r="B108"/>
  <c r="B93"/>
  <c r="B91" s="1"/>
  <c r="F87"/>
  <c r="B88"/>
  <c r="B89"/>
  <c r="D87"/>
  <c r="B111"/>
  <c r="E87"/>
  <c r="B110"/>
  <c r="B97"/>
  <c r="B98" l="1"/>
  <c r="B105"/>
  <c r="F133"/>
  <c r="E133"/>
  <c r="B95"/>
  <c r="B92"/>
  <c r="B94" s="1"/>
  <c r="F25" i="2" s="1"/>
  <c r="F5" s="1"/>
  <c r="G133" i="1"/>
  <c r="D133"/>
  <c r="B115" a="1"/>
  <c r="B117" a="1"/>
  <c r="B102" l="1"/>
  <c r="B142" s="1"/>
  <c r="D115"/>
  <c r="E115"/>
  <c r="B115"/>
  <c r="C115"/>
  <c r="B118"/>
  <c r="B119"/>
  <c r="B120"/>
  <c r="B117"/>
  <c r="B122" l="1"/>
  <c r="B123" l="1"/>
  <c r="B127"/>
  <c r="B128" l="1"/>
  <c r="B129" s="1"/>
  <c r="B152" l="1"/>
  <c r="F129"/>
  <c r="B153"/>
  <c r="B148"/>
  <c r="B149" s="1"/>
  <c r="G129"/>
  <c r="B154"/>
  <c r="B135"/>
  <c r="B133" s="1"/>
  <c r="B130"/>
  <c r="D129"/>
  <c r="B131"/>
  <c r="E129"/>
  <c r="B151"/>
  <c r="H176" l="1"/>
  <c r="D176"/>
  <c r="G176"/>
  <c r="B138"/>
  <c r="B143" s="1"/>
  <c r="B185" s="1"/>
  <c r="B134"/>
  <c r="B137" s="1"/>
  <c r="F26" i="2" s="1"/>
  <c r="F6" s="1"/>
  <c r="B146" i="1"/>
  <c r="B140"/>
  <c r="B157" a="1"/>
  <c r="B159" a="1"/>
  <c r="F176"/>
  <c r="E176"/>
  <c r="I176" l="1"/>
  <c r="F157"/>
  <c r="B157"/>
  <c r="C157"/>
  <c r="D157"/>
  <c r="E157"/>
  <c r="B161"/>
  <c r="B162"/>
  <c r="B163"/>
  <c r="B159"/>
  <c r="B160"/>
  <c r="B165" l="1"/>
  <c r="B166" l="1"/>
  <c r="B170"/>
  <c r="B171" l="1"/>
  <c r="B172" s="1"/>
  <c r="B173" l="1"/>
  <c r="F172"/>
  <c r="B174"/>
  <c r="G172"/>
  <c r="B193"/>
  <c r="B194" s="1"/>
  <c r="B178"/>
  <c r="B176" s="1"/>
  <c r="H172"/>
  <c r="D172"/>
  <c r="E172"/>
  <c r="C27" i="2"/>
  <c r="D7" s="1"/>
  <c r="C26"/>
  <c r="D6" s="1"/>
  <c r="C25"/>
  <c r="D5" s="1"/>
  <c r="C24"/>
  <c r="D4" s="1"/>
  <c r="B26"/>
  <c r="G6" s="1"/>
  <c r="B25"/>
  <c r="G5" s="1"/>
  <c r="D26"/>
  <c r="E6" s="1"/>
  <c r="D25"/>
  <c r="E5" s="1"/>
  <c r="D24"/>
  <c r="E4" s="1"/>
  <c r="D12"/>
  <c r="E11"/>
  <c r="D11"/>
  <c r="E10"/>
  <c r="D10"/>
  <c r="E9"/>
  <c r="D9"/>
  <c r="E26" l="1"/>
  <c r="H6" s="1"/>
  <c r="E25"/>
  <c r="H5" s="1"/>
  <c r="E27"/>
  <c r="H7" s="1"/>
  <c r="B27"/>
  <c r="G7" s="1"/>
  <c r="B191" i="1"/>
  <c r="B183"/>
  <c r="B181"/>
  <c r="B177"/>
  <c r="B186"/>
  <c r="B188" s="1"/>
  <c r="I172"/>
  <c r="E22" i="2"/>
  <c r="D22"/>
  <c r="C22"/>
  <c r="B22"/>
  <c r="D21"/>
  <c r="C21"/>
  <c r="B21"/>
  <c r="C20"/>
  <c r="B20"/>
  <c r="F17"/>
  <c r="E17"/>
  <c r="D17"/>
  <c r="C17"/>
  <c r="B17"/>
  <c r="E16"/>
  <c r="D16"/>
  <c r="C16"/>
  <c r="B16"/>
  <c r="D15"/>
  <c r="C15"/>
  <c r="B15"/>
  <c r="C14"/>
  <c r="B14"/>
  <c r="C12"/>
  <c r="C7" s="1"/>
  <c r="C11"/>
  <c r="C6" s="1"/>
  <c r="C10"/>
  <c r="C5" s="1"/>
  <c r="C9"/>
  <c r="C4" s="1"/>
  <c r="B12"/>
  <c r="B7" s="1"/>
  <c r="B11"/>
  <c r="B6" s="1"/>
  <c r="B10"/>
  <c r="B5" s="1"/>
  <c r="B9"/>
  <c r="B4" s="1"/>
  <c r="B180" i="1" l="1"/>
  <c r="F27" i="2" s="1"/>
  <c r="F7" s="1"/>
  <c r="E12"/>
  <c r="D27"/>
  <c r="E7" s="1"/>
</calcChain>
</file>

<file path=xl/sharedStrings.xml><?xml version="1.0" encoding="utf-8"?>
<sst xmlns="http://schemas.openxmlformats.org/spreadsheetml/2006/main" count="282" uniqueCount="211">
  <si>
    <t>Project value</t>
  </si>
  <si>
    <t xml:space="preserve">Stage 1 </t>
  </si>
  <si>
    <t>Input the correlations:</t>
  </si>
  <si>
    <t>V</t>
  </si>
  <si>
    <t>K1</t>
  </si>
  <si>
    <t>K2</t>
  </si>
  <si>
    <t>K3</t>
  </si>
  <si>
    <t>K4</t>
  </si>
  <si>
    <t>Stage 2</t>
  </si>
  <si>
    <t>Stage 3</t>
  </si>
  <si>
    <t>Stage 4</t>
  </si>
  <si>
    <t>Risk-free rate</t>
  </si>
  <si>
    <t>Threshold Levels</t>
  </si>
  <si>
    <t>K1^</t>
  </si>
  <si>
    <t>K2^</t>
  </si>
  <si>
    <t>K3^</t>
  </si>
  <si>
    <t>K4^</t>
  </si>
  <si>
    <t>Factor Levels</t>
  </si>
  <si>
    <t>Calculations</t>
  </si>
  <si>
    <t>Correlations Matrix:</t>
  </si>
  <si>
    <t>Volatility</t>
  </si>
  <si>
    <t>Variance-Covariance Matrix</t>
  </si>
  <si>
    <t>Analysis</t>
  </si>
  <si>
    <t>w</t>
  </si>
  <si>
    <t>column vector with 2 elements</t>
  </si>
  <si>
    <t>wT (w transpose)</t>
  </si>
  <si>
    <t>Var-Covar*w</t>
  </si>
  <si>
    <t>sigma^2_1=wT*Var-Covar*w</t>
  </si>
  <si>
    <t>vol_1</t>
  </si>
  <si>
    <t>theta_V - theta_K1</t>
  </si>
  <si>
    <t>r + Lamda_1 - theta_K1</t>
  </si>
  <si>
    <t>T1</t>
  </si>
  <si>
    <t>T2</t>
  </si>
  <si>
    <t>beta_1</t>
  </si>
  <si>
    <t>eta_11</t>
  </si>
  <si>
    <t>phi_1</t>
  </si>
  <si>
    <t>phi_1/(phi_1 - 1)</t>
  </si>
  <si>
    <t>V1^</t>
  </si>
  <si>
    <t>A1</t>
  </si>
  <si>
    <t>Mark-up Factor</t>
  </si>
  <si>
    <t>Option value (O-of-M)</t>
  </si>
  <si>
    <t>Option Value</t>
  </si>
  <si>
    <t>column vector with 3 elements</t>
  </si>
  <si>
    <t>wT</t>
  </si>
  <si>
    <t>sigma^2_2=wT*Var-Covar*w</t>
  </si>
  <si>
    <t>vol_2</t>
  </si>
  <si>
    <t>r + lambda_1 - theta_K2</t>
  </si>
  <si>
    <t>r + lambda_2 - theta_K2</t>
  </si>
  <si>
    <t>beta_2</t>
  </si>
  <si>
    <t>eta_12</t>
  </si>
  <si>
    <t>eta_22</t>
  </si>
  <si>
    <t>phi_2</t>
  </si>
  <si>
    <t>1-phi_2</t>
  </si>
  <si>
    <t>B2</t>
  </si>
  <si>
    <t>delta_02</t>
  </si>
  <si>
    <t>delta_12</t>
  </si>
  <si>
    <t>delta_22</t>
  </si>
  <si>
    <t>V2^</t>
  </si>
  <si>
    <t>A2</t>
  </si>
  <si>
    <t>Mark-up Factor_2</t>
  </si>
  <si>
    <t>Option value</t>
  </si>
  <si>
    <t>Alternative option value</t>
  </si>
  <si>
    <t>Check: V2^/K2^</t>
  </si>
  <si>
    <t>Stage 1 option value (O-M)</t>
  </si>
  <si>
    <t>Stage 2 option value__</t>
  </si>
  <si>
    <t>column vector with 4 elements</t>
  </si>
  <si>
    <t>sigma^2_3=wT*Var-Covar*w</t>
  </si>
  <si>
    <t>vol_3</t>
  </si>
  <si>
    <t>r + lambda_2 - theta_K3</t>
  </si>
  <si>
    <t>r + lambda_3 - theta_K3</t>
  </si>
  <si>
    <t>beta_3</t>
  </si>
  <si>
    <t>eta_13</t>
  </si>
  <si>
    <t>eta_23</t>
  </si>
  <si>
    <t>eta_33</t>
  </si>
  <si>
    <t>phi_3</t>
  </si>
  <si>
    <t>1-phi_3</t>
  </si>
  <si>
    <t>B3</t>
  </si>
  <si>
    <t>delta_03</t>
  </si>
  <si>
    <t>delta_13</t>
  </si>
  <si>
    <t>delta_23</t>
  </si>
  <si>
    <t>delta_33</t>
  </si>
  <si>
    <t>V3^</t>
  </si>
  <si>
    <t>A3</t>
  </si>
  <si>
    <t>Mark-up Factor_3</t>
  </si>
  <si>
    <t>Check</t>
  </si>
  <si>
    <t>Stage 2 option value (O-M)</t>
  </si>
  <si>
    <t>Stage 3 option value__</t>
  </si>
  <si>
    <t>column vector with 5 elements</t>
  </si>
  <si>
    <t>sigma^2_4=wT*Var-Covar*w</t>
  </si>
  <si>
    <t>vol_4</t>
  </si>
  <si>
    <t>r + lambda_3 - theta_K4</t>
  </si>
  <si>
    <t>r + lambda_4 - theta_K4</t>
  </si>
  <si>
    <t>beta_4</t>
  </si>
  <si>
    <t>eta_14</t>
  </si>
  <si>
    <t>eta_24</t>
  </si>
  <si>
    <t>eta_34</t>
  </si>
  <si>
    <t>eta_44</t>
  </si>
  <si>
    <t>phi_4</t>
  </si>
  <si>
    <t>1-phi_4</t>
  </si>
  <si>
    <t>B4</t>
  </si>
  <si>
    <t>delta_04</t>
  </si>
  <si>
    <t>delta_14</t>
  </si>
  <si>
    <t>delta_24</t>
  </si>
  <si>
    <t>delta_34</t>
  </si>
  <si>
    <t>delta_44</t>
  </si>
  <si>
    <t>V4^</t>
  </si>
  <si>
    <t>A4</t>
  </si>
  <si>
    <t>Mark-up Factor_4</t>
  </si>
  <si>
    <t>Stage 3 option value (O-M)</t>
  </si>
  <si>
    <t>Stage 4 option value</t>
  </si>
  <si>
    <t>Stage 4 option value__</t>
  </si>
  <si>
    <t>Check: V2^/V1^</t>
  </si>
  <si>
    <t>V2^/V1^</t>
  </si>
  <si>
    <t>Factor</t>
  </si>
  <si>
    <t>RHS</t>
  </si>
  <si>
    <t>Check: V3^/V2^</t>
  </si>
  <si>
    <t>V3^/V2^</t>
  </si>
  <si>
    <t>Check: V4^/V3^</t>
  </si>
  <si>
    <t>V4^/V3^</t>
  </si>
  <si>
    <t>Stage</t>
  </si>
  <si>
    <t>phi</t>
  </si>
  <si>
    <t>beta</t>
  </si>
  <si>
    <t>B</t>
  </si>
  <si>
    <t>A</t>
  </si>
  <si>
    <t>LB</t>
  </si>
  <si>
    <t>V^</t>
  </si>
  <si>
    <t>K^</t>
  </si>
  <si>
    <t>INPUT</t>
  </si>
  <si>
    <t>nyta1</t>
  </si>
  <si>
    <t>nyta2</t>
  </si>
  <si>
    <t>nyta3</t>
  </si>
  <si>
    <t>nyta4</t>
  </si>
  <si>
    <t>delta1</t>
  </si>
  <si>
    <t>delta2</t>
  </si>
  <si>
    <t>delta3</t>
  </si>
  <si>
    <t>delta4</t>
  </si>
  <si>
    <t>K (J-1)/K(J)</t>
  </si>
  <si>
    <t>SUM</t>
  </si>
  <si>
    <t>OUTPUT</t>
  </si>
  <si>
    <t xml:space="preserve">TABLE 2 </t>
  </si>
  <si>
    <t>ROV</t>
  </si>
  <si>
    <t>f</t>
  </si>
  <si>
    <t xml:space="preserve"> </t>
  </si>
  <si>
    <t>B64*(E18^D60)*(E19^E60)</t>
  </si>
  <si>
    <t>IF(E18&lt;B63,B66,E18-E19)</t>
  </si>
  <si>
    <t>IF(E18&lt;B91,B95,B100-E20)</t>
  </si>
  <si>
    <t>TABLE 1</t>
  </si>
  <si>
    <t>B87*(B60-1)/(B87-1)</t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</si>
  <si>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_V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</si>
  <si>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_V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</si>
  <si>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_K1</t>
    </r>
  </si>
  <si>
    <r>
      <t xml:space="preserve">Failure probability: </t>
    </r>
    <r>
      <rPr>
        <sz val="11"/>
        <color theme="1"/>
        <rFont val="Symbol"/>
        <family val="1"/>
        <charset val="2"/>
      </rPr>
      <t>l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</si>
  <si>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_K1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</si>
  <si>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_K4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</si>
  <si>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_K4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</si>
  <si>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_K3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</si>
  <si>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_K3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</si>
  <si>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_K2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</si>
  <si>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_K2</t>
    </r>
  </si>
  <si>
    <t>Overall Volatility</t>
  </si>
  <si>
    <t>StemCells Inc. Consolidated Income Statement ($ 000)</t>
  </si>
  <si>
    <t>2013E</t>
  </si>
  <si>
    <t>2014E</t>
  </si>
  <si>
    <t>2015E</t>
  </si>
  <si>
    <t>2016E</t>
  </si>
  <si>
    <t>2017E</t>
  </si>
  <si>
    <t>Sales</t>
  </si>
  <si>
    <t>Applications</t>
  </si>
  <si>
    <t>HuCNS-SC PMD US</t>
  </si>
  <si>
    <t>HuCNS-SC PMD ROW</t>
  </si>
  <si>
    <t>II</t>
  </si>
  <si>
    <t>HuCNS-SC Spinal Cord ROW</t>
  </si>
  <si>
    <t>III</t>
  </si>
  <si>
    <t>HuCNS-SC AMD US</t>
  </si>
  <si>
    <t>IV</t>
  </si>
  <si>
    <t>HuCNS-SC AMD ROW</t>
  </si>
  <si>
    <t>Other</t>
  </si>
  <si>
    <t>Total Sales</t>
  </si>
  <si>
    <t>Cost of Sales</t>
  </si>
  <si>
    <t>Gross Profit</t>
  </si>
  <si>
    <t>R&amp;D</t>
  </si>
  <si>
    <t>G&amp;A&amp; Other</t>
  </si>
  <si>
    <t>Total Expenses</t>
  </si>
  <si>
    <t>Operating Income</t>
  </si>
  <si>
    <t>Other Income</t>
  </si>
  <si>
    <t>Net Income</t>
  </si>
  <si>
    <t>Shares Outstanding</t>
  </si>
  <si>
    <t>EPS</t>
  </si>
  <si>
    <t>Balance Sheet 3/31/13</t>
  </si>
  <si>
    <t xml:space="preserve">Current </t>
  </si>
  <si>
    <t>Price</t>
  </si>
  <si>
    <t>Assets</t>
  </si>
  <si>
    <t xml:space="preserve">   Current</t>
  </si>
  <si>
    <t>Number</t>
  </si>
  <si>
    <t>PE</t>
  </si>
  <si>
    <t xml:space="preserve">   Fixed</t>
  </si>
  <si>
    <t>Discount</t>
  </si>
  <si>
    <t xml:space="preserve">   Intangibles</t>
  </si>
  <si>
    <t xml:space="preserve">Target </t>
  </si>
  <si>
    <t>Total Assets</t>
  </si>
  <si>
    <t>Target</t>
  </si>
  <si>
    <t xml:space="preserve">Market </t>
  </si>
  <si>
    <t>Cap</t>
  </si>
  <si>
    <t xml:space="preserve">Liabilities </t>
  </si>
  <si>
    <t>Current</t>
  </si>
  <si>
    <t>Equity</t>
  </si>
  <si>
    <t>Total Liabilities &amp; Equity</t>
  </si>
  <si>
    <t>NAV Per Share</t>
  </si>
  <si>
    <t>* HuCNS-SC PMD US</t>
  </si>
  <si>
    <t>Risk</t>
  </si>
  <si>
    <t>I*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</si>
</sst>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0.00000"/>
    <numFmt numFmtId="165" formatCode="0.0000"/>
    <numFmt numFmtId="166" formatCode="0.000"/>
    <numFmt numFmtId="167" formatCode="&quot;$&quot;#,##0.00"/>
    <numFmt numFmtId="168" formatCode="&quot;$&quot;#,##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9" fontId="0" fillId="0" borderId="0" xfId="0" applyNumberFormat="1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Continuous"/>
    </xf>
    <xf numFmtId="0" fontId="0" fillId="0" borderId="1" xfId="0" applyBorder="1"/>
    <xf numFmtId="0" fontId="7" fillId="0" borderId="1" xfId="0" applyFont="1" applyBorder="1" applyAlignment="1">
      <alignment horizontal="center"/>
    </xf>
    <xf numFmtId="3" fontId="0" fillId="0" borderId="1" xfId="0" applyNumberFormat="1" applyBorder="1"/>
    <xf numFmtId="3" fontId="0" fillId="0" borderId="0" xfId="0" applyNumberFormat="1"/>
    <xf numFmtId="167" fontId="0" fillId="0" borderId="1" xfId="0" applyNumberFormat="1" applyBorder="1"/>
    <xf numFmtId="8" fontId="0" fillId="0" borderId="1" xfId="0" applyNumberFormat="1" applyBorder="1"/>
    <xf numFmtId="168" fontId="1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8" fontId="0" fillId="0" borderId="3" xfId="0" applyNumberFormat="1" applyBorder="1"/>
    <xf numFmtId="0" fontId="0" fillId="0" borderId="6" xfId="0" applyBorder="1"/>
    <xf numFmtId="168" fontId="0" fillId="0" borderId="7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sqref="A1:K30"/>
    </sheetView>
  </sheetViews>
  <sheetFormatPr defaultRowHeight="15"/>
  <cols>
    <col min="1" max="1" width="25.7109375" bestFit="1" customWidth="1"/>
    <col min="10" max="10" width="11.140625" bestFit="1" customWidth="1"/>
  </cols>
  <sheetData>
    <row r="1" spans="1:11">
      <c r="A1" s="18" t="s">
        <v>160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>
      <c r="A2" s="19"/>
      <c r="B2" s="12">
        <v>2009</v>
      </c>
      <c r="C2" s="12">
        <v>2010</v>
      </c>
      <c r="D2" s="12">
        <v>2011</v>
      </c>
      <c r="E2" s="12">
        <v>2012</v>
      </c>
      <c r="F2" s="12" t="s">
        <v>161</v>
      </c>
      <c r="G2" s="12" t="s">
        <v>162</v>
      </c>
      <c r="H2" s="12" t="s">
        <v>163</v>
      </c>
      <c r="I2" s="12" t="s">
        <v>164</v>
      </c>
      <c r="J2" s="12" t="s">
        <v>165</v>
      </c>
    </row>
    <row r="3" spans="1:11" ht="15.75">
      <c r="A3" s="19" t="s">
        <v>166</v>
      </c>
      <c r="B3" s="19"/>
      <c r="C3" s="19"/>
      <c r="D3" s="19"/>
      <c r="E3" s="19"/>
      <c r="F3" s="19"/>
      <c r="G3" s="19"/>
      <c r="H3" s="19"/>
      <c r="I3" s="19"/>
      <c r="J3" s="20" t="s">
        <v>142</v>
      </c>
      <c r="K3" s="28" t="s">
        <v>167</v>
      </c>
    </row>
    <row r="4" spans="1:11">
      <c r="A4" s="19" t="s">
        <v>168</v>
      </c>
      <c r="B4" s="21"/>
      <c r="C4" s="21"/>
      <c r="D4" s="21"/>
      <c r="E4" s="21"/>
      <c r="F4" s="21"/>
      <c r="G4" s="21"/>
      <c r="H4" s="21"/>
      <c r="I4" s="21">
        <v>11310</v>
      </c>
      <c r="J4" s="21">
        <v>33930</v>
      </c>
      <c r="K4" s="29" t="s">
        <v>210</v>
      </c>
    </row>
    <row r="5" spans="1:11">
      <c r="A5" s="19" t="s">
        <v>169</v>
      </c>
      <c r="B5" s="21"/>
      <c r="C5" s="21"/>
      <c r="D5" s="21"/>
      <c r="E5" s="21"/>
      <c r="F5" s="21"/>
      <c r="G5" s="21"/>
      <c r="H5" s="21"/>
      <c r="I5" s="21">
        <v>11310</v>
      </c>
      <c r="J5" s="21">
        <v>33930</v>
      </c>
      <c r="K5" s="30" t="s">
        <v>170</v>
      </c>
    </row>
    <row r="6" spans="1:11">
      <c r="A6" s="19" t="s">
        <v>171</v>
      </c>
      <c r="B6" s="21"/>
      <c r="C6" s="21"/>
      <c r="D6" s="21"/>
      <c r="E6" s="21"/>
      <c r="F6" s="21"/>
      <c r="G6" s="21"/>
      <c r="H6" s="21"/>
      <c r="I6" s="21">
        <v>3750</v>
      </c>
      <c r="J6" s="21">
        <v>15000</v>
      </c>
      <c r="K6" s="30" t="s">
        <v>172</v>
      </c>
    </row>
    <row r="7" spans="1:11">
      <c r="A7" s="19" t="s">
        <v>173</v>
      </c>
      <c r="B7" s="21"/>
      <c r="C7" s="21"/>
      <c r="D7" s="21"/>
      <c r="E7" s="21"/>
      <c r="F7" s="21"/>
      <c r="G7" s="21"/>
      <c r="H7" s="21"/>
      <c r="I7" s="21"/>
      <c r="J7" s="21">
        <v>18000</v>
      </c>
      <c r="K7" s="30" t="s">
        <v>174</v>
      </c>
    </row>
    <row r="8" spans="1:11">
      <c r="A8" s="19" t="s">
        <v>175</v>
      </c>
      <c r="B8" s="21"/>
      <c r="C8" s="21"/>
      <c r="D8" s="21"/>
      <c r="E8" s="21"/>
      <c r="F8" s="21"/>
      <c r="G8" s="21"/>
      <c r="H8" s="21"/>
      <c r="I8" s="21"/>
      <c r="J8" s="21">
        <v>3000</v>
      </c>
      <c r="K8" s="30" t="s">
        <v>3</v>
      </c>
    </row>
    <row r="9" spans="1:11">
      <c r="A9" s="19" t="s">
        <v>176</v>
      </c>
      <c r="B9" s="21">
        <v>994</v>
      </c>
      <c r="C9" s="21">
        <v>1418</v>
      </c>
      <c r="D9" s="21">
        <v>1221</v>
      </c>
      <c r="E9" s="21">
        <v>1368</v>
      </c>
      <c r="F9" s="21">
        <v>1042</v>
      </c>
      <c r="G9" s="21">
        <v>1216</v>
      </c>
      <c r="H9" s="21">
        <v>1668</v>
      </c>
      <c r="I9" s="21">
        <v>3285</v>
      </c>
      <c r="J9" s="21">
        <v>4413</v>
      </c>
      <c r="K9" s="22"/>
    </row>
    <row r="10" spans="1:11">
      <c r="A10" s="19" t="s">
        <v>177</v>
      </c>
      <c r="B10" s="21">
        <f>SUM(B3:B9)</f>
        <v>994</v>
      </c>
      <c r="C10" s="21">
        <f t="shared" ref="C10:J10" si="0">SUM(C3:C9)</f>
        <v>1418</v>
      </c>
      <c r="D10" s="21">
        <f t="shared" si="0"/>
        <v>1221</v>
      </c>
      <c r="E10" s="21">
        <f t="shared" si="0"/>
        <v>1368</v>
      </c>
      <c r="F10" s="21">
        <f t="shared" si="0"/>
        <v>1042</v>
      </c>
      <c r="G10" s="21">
        <f t="shared" si="0"/>
        <v>1216</v>
      </c>
      <c r="H10" s="21">
        <f t="shared" si="0"/>
        <v>1668</v>
      </c>
      <c r="I10" s="21">
        <f t="shared" si="0"/>
        <v>29655</v>
      </c>
      <c r="J10" s="21">
        <f t="shared" si="0"/>
        <v>108273</v>
      </c>
      <c r="K10" s="22"/>
    </row>
    <row r="11" spans="1:11">
      <c r="A11" s="19" t="s">
        <v>178</v>
      </c>
      <c r="B11" s="21">
        <v>261</v>
      </c>
      <c r="C11" s="21">
        <v>168</v>
      </c>
      <c r="D11" s="21">
        <v>215</v>
      </c>
      <c r="E11" s="21">
        <v>263</v>
      </c>
      <c r="F11" s="21">
        <v>258</v>
      </c>
      <c r="G11" s="21">
        <v>305</v>
      </c>
      <c r="H11" s="21">
        <v>350</v>
      </c>
      <c r="I11" s="21">
        <v>4341</v>
      </c>
      <c r="J11" s="21">
        <v>10810</v>
      </c>
      <c r="K11" s="22"/>
    </row>
    <row r="12" spans="1:11">
      <c r="A12" s="19" t="s">
        <v>179</v>
      </c>
      <c r="B12" s="21">
        <f>B10-B11</f>
        <v>733</v>
      </c>
      <c r="C12" s="21">
        <f t="shared" ref="C12:J12" si="1">C10-C11</f>
        <v>1250</v>
      </c>
      <c r="D12" s="21">
        <f t="shared" si="1"/>
        <v>1006</v>
      </c>
      <c r="E12" s="21">
        <f t="shared" si="1"/>
        <v>1105</v>
      </c>
      <c r="F12" s="21">
        <f t="shared" si="1"/>
        <v>784</v>
      </c>
      <c r="G12" s="21">
        <f t="shared" si="1"/>
        <v>911</v>
      </c>
      <c r="H12" s="21">
        <f t="shared" si="1"/>
        <v>1318</v>
      </c>
      <c r="I12" s="21">
        <f t="shared" si="1"/>
        <v>25314</v>
      </c>
      <c r="J12" s="21">
        <f t="shared" si="1"/>
        <v>97463</v>
      </c>
      <c r="K12" s="22"/>
    </row>
    <row r="13" spans="1:11">
      <c r="A13" s="19" t="s">
        <v>180</v>
      </c>
      <c r="B13" s="21">
        <v>19931</v>
      </c>
      <c r="C13" s="21">
        <v>21020</v>
      </c>
      <c r="D13" s="21">
        <v>19938</v>
      </c>
      <c r="E13" s="21">
        <v>15847</v>
      </c>
      <c r="F13" s="21">
        <v>19671</v>
      </c>
      <c r="G13" s="21">
        <v>19868</v>
      </c>
      <c r="H13" s="21">
        <v>20067</v>
      </c>
      <c r="I13" s="21">
        <v>20267</v>
      </c>
      <c r="J13" s="21">
        <v>20470</v>
      </c>
      <c r="K13" s="22"/>
    </row>
    <row r="14" spans="1:11">
      <c r="A14" s="19" t="s">
        <v>181</v>
      </c>
      <c r="B14" s="21">
        <f>B15-B13</f>
        <v>10180</v>
      </c>
      <c r="C14" s="21">
        <f t="shared" ref="C14:J14" si="2">C15-C13</f>
        <v>9599</v>
      </c>
      <c r="D14" s="21">
        <f t="shared" si="2"/>
        <v>9144</v>
      </c>
      <c r="E14" s="21">
        <f t="shared" si="2"/>
        <v>7804</v>
      </c>
      <c r="F14" s="21">
        <f t="shared" si="2"/>
        <v>8476</v>
      </c>
      <c r="G14" s="21">
        <f t="shared" si="2"/>
        <v>8569</v>
      </c>
      <c r="H14" s="21">
        <f t="shared" si="2"/>
        <v>8651</v>
      </c>
      <c r="I14" s="21">
        <f t="shared" si="2"/>
        <v>8385</v>
      </c>
      <c r="J14" s="21">
        <f t="shared" si="2"/>
        <v>8468</v>
      </c>
      <c r="K14" s="22"/>
    </row>
    <row r="15" spans="1:11">
      <c r="A15" s="19" t="s">
        <v>182</v>
      </c>
      <c r="B15" s="21">
        <v>30111</v>
      </c>
      <c r="C15" s="21">
        <v>30619</v>
      </c>
      <c r="D15" s="21">
        <v>29082</v>
      </c>
      <c r="E15" s="21">
        <v>23651</v>
      </c>
      <c r="F15" s="21">
        <v>28147</v>
      </c>
      <c r="G15" s="21">
        <v>28437</v>
      </c>
      <c r="H15" s="21">
        <v>28718</v>
      </c>
      <c r="I15" s="21">
        <v>28652</v>
      </c>
      <c r="J15" s="21">
        <v>28938</v>
      </c>
      <c r="K15" s="22"/>
    </row>
    <row r="16" spans="1:11">
      <c r="A16" s="19" t="s">
        <v>183</v>
      </c>
      <c r="B16" s="21">
        <f>B12-B13-B14</f>
        <v>-29378</v>
      </c>
      <c r="C16" s="21">
        <f t="shared" ref="C16:J16" si="3">C12-C13-C14</f>
        <v>-29369</v>
      </c>
      <c r="D16" s="21">
        <f t="shared" si="3"/>
        <v>-28076</v>
      </c>
      <c r="E16" s="21">
        <f t="shared" si="3"/>
        <v>-22546</v>
      </c>
      <c r="F16" s="21">
        <f t="shared" si="3"/>
        <v>-27363</v>
      </c>
      <c r="G16" s="21">
        <f t="shared" si="3"/>
        <v>-27526</v>
      </c>
      <c r="H16" s="21">
        <f t="shared" si="3"/>
        <v>-27400</v>
      </c>
      <c r="I16" s="21">
        <f t="shared" si="3"/>
        <v>-3338</v>
      </c>
      <c r="J16" s="21">
        <f t="shared" si="3"/>
        <v>68525</v>
      </c>
      <c r="K16" s="22"/>
    </row>
    <row r="17" spans="1:11">
      <c r="A17" s="19" t="s">
        <v>184</v>
      </c>
      <c r="B17" s="21">
        <v>2352</v>
      </c>
      <c r="C17" s="21">
        <v>4116</v>
      </c>
      <c r="D17" s="21">
        <v>6748</v>
      </c>
      <c r="E17" s="21">
        <v>-5945</v>
      </c>
      <c r="F17" s="21">
        <v>-1627</v>
      </c>
      <c r="G17" s="21">
        <v>-1077</v>
      </c>
      <c r="H17" s="21">
        <v>-1077</v>
      </c>
      <c r="I17" s="21">
        <v>2153</v>
      </c>
      <c r="J17" s="21">
        <v>2153</v>
      </c>
      <c r="K17" s="22"/>
    </row>
    <row r="18" spans="1:11">
      <c r="A18" s="19" t="s">
        <v>185</v>
      </c>
      <c r="B18" s="21">
        <f>B16+B17</f>
        <v>-27026</v>
      </c>
      <c r="C18" s="21">
        <f t="shared" ref="C18:J18" si="4">C16+C17</f>
        <v>-25253</v>
      </c>
      <c r="D18" s="21">
        <f t="shared" si="4"/>
        <v>-21328</v>
      </c>
      <c r="E18" s="21">
        <f t="shared" si="4"/>
        <v>-28491</v>
      </c>
      <c r="F18" s="21">
        <f t="shared" si="4"/>
        <v>-28990</v>
      </c>
      <c r="G18" s="21">
        <f t="shared" si="4"/>
        <v>-28603</v>
      </c>
      <c r="H18" s="21">
        <f t="shared" si="4"/>
        <v>-28477</v>
      </c>
      <c r="I18" s="21">
        <f t="shared" si="4"/>
        <v>-1185</v>
      </c>
      <c r="J18" s="21">
        <f t="shared" si="4"/>
        <v>70678</v>
      </c>
      <c r="K18" s="22"/>
    </row>
    <row r="19" spans="1:11">
      <c r="A19" s="19" t="s">
        <v>186</v>
      </c>
      <c r="B19" s="21">
        <v>10606</v>
      </c>
      <c r="C19" s="21">
        <v>12330</v>
      </c>
      <c r="D19" s="21">
        <v>14188</v>
      </c>
      <c r="E19" s="21">
        <v>28824</v>
      </c>
      <c r="F19" s="21">
        <v>46729</v>
      </c>
      <c r="G19" s="21">
        <v>66291</v>
      </c>
      <c r="H19" s="21">
        <v>72920</v>
      </c>
      <c r="I19" s="21">
        <v>80212</v>
      </c>
      <c r="J19" s="21">
        <v>88233</v>
      </c>
      <c r="K19" s="22"/>
    </row>
    <row r="20" spans="1:11">
      <c r="A20" s="19" t="s">
        <v>187</v>
      </c>
      <c r="B20" s="23">
        <f>B18/B19</f>
        <v>-2.5481802753158589</v>
      </c>
      <c r="C20" s="23">
        <f t="shared" ref="C20:J20" si="5">C18/C19</f>
        <v>-2.0480940794809408</v>
      </c>
      <c r="D20" s="23">
        <f t="shared" si="5"/>
        <v>-1.5032421764871722</v>
      </c>
      <c r="E20" s="23">
        <f t="shared" si="5"/>
        <v>-0.98844712739383844</v>
      </c>
      <c r="F20" s="23">
        <f t="shared" si="5"/>
        <v>-0.62038562776862338</v>
      </c>
      <c r="G20" s="23">
        <f t="shared" si="5"/>
        <v>-0.4314763693412379</v>
      </c>
      <c r="H20" s="23">
        <f t="shared" si="5"/>
        <v>-0.39052386176631926</v>
      </c>
      <c r="I20" s="23">
        <f t="shared" si="5"/>
        <v>-1.4773350620854735E-2</v>
      </c>
      <c r="J20" s="23">
        <f t="shared" si="5"/>
        <v>0.80103816032550179</v>
      </c>
    </row>
    <row r="21" spans="1:11">
      <c r="A21" s="19"/>
      <c r="B21" s="19"/>
      <c r="C21" s="19"/>
      <c r="D21" s="19"/>
      <c r="E21" s="19"/>
      <c r="F21" s="19"/>
      <c r="G21" s="19"/>
      <c r="H21" s="19"/>
      <c r="I21" s="19"/>
      <c r="J21" s="19"/>
    </row>
    <row r="22" spans="1:11">
      <c r="A22" s="19" t="s">
        <v>188</v>
      </c>
      <c r="B22" s="19"/>
      <c r="C22" s="19"/>
      <c r="D22" s="19"/>
      <c r="E22" s="19"/>
      <c r="F22" s="19"/>
      <c r="G22" s="19"/>
      <c r="H22" s="19" t="s">
        <v>189</v>
      </c>
      <c r="I22" s="19" t="s">
        <v>190</v>
      </c>
      <c r="J22" s="24">
        <v>2.5</v>
      </c>
    </row>
    <row r="23" spans="1:11">
      <c r="A23" s="19" t="s">
        <v>191</v>
      </c>
      <c r="B23" s="19"/>
      <c r="C23" s="19"/>
      <c r="D23" s="31" t="s">
        <v>208</v>
      </c>
      <c r="E23" s="32"/>
      <c r="F23" s="19"/>
      <c r="G23" s="19"/>
      <c r="H23" s="19"/>
      <c r="I23" s="19" t="s">
        <v>187</v>
      </c>
      <c r="J23" s="23">
        <f>J20</f>
        <v>0.80103816032550179</v>
      </c>
    </row>
    <row r="24" spans="1:11">
      <c r="A24" s="19" t="s">
        <v>192</v>
      </c>
      <c r="B24" s="19">
        <v>18614</v>
      </c>
      <c r="C24" s="19"/>
      <c r="D24" s="33" t="s">
        <v>193</v>
      </c>
      <c r="E24" s="34" t="s">
        <v>190</v>
      </c>
      <c r="F24" s="19"/>
      <c r="G24" s="19"/>
      <c r="H24" s="19"/>
      <c r="I24" s="19" t="s">
        <v>194</v>
      </c>
      <c r="J24" s="19">
        <v>35</v>
      </c>
    </row>
    <row r="25" spans="1:11">
      <c r="A25" s="19" t="s">
        <v>195</v>
      </c>
      <c r="B25" s="19">
        <v>1520</v>
      </c>
      <c r="C25" s="19"/>
      <c r="D25" s="26">
        <v>87</v>
      </c>
      <c r="E25" s="35">
        <v>500000</v>
      </c>
      <c r="F25" s="19"/>
      <c r="G25" s="19"/>
      <c r="H25" s="19"/>
      <c r="I25" s="19" t="s">
        <v>196</v>
      </c>
      <c r="J25" s="19">
        <v>0.1605</v>
      </c>
    </row>
    <row r="26" spans="1:11">
      <c r="A26" s="19" t="s">
        <v>197</v>
      </c>
      <c r="B26" s="19">
        <v>4630</v>
      </c>
      <c r="C26" s="19"/>
      <c r="D26" s="26" t="s">
        <v>209</v>
      </c>
      <c r="E26" s="27">
        <v>0.78</v>
      </c>
      <c r="F26" s="19"/>
      <c r="G26" s="19"/>
      <c r="H26" s="19" t="s">
        <v>198</v>
      </c>
      <c r="I26" s="19" t="s">
        <v>190</v>
      </c>
      <c r="J26" s="23">
        <f>J24*J23*J25</f>
        <v>4.4998318656285061</v>
      </c>
    </row>
    <row r="27" spans="1:11">
      <c r="A27" s="19" t="s">
        <v>199</v>
      </c>
      <c r="B27" s="19">
        <f>SUM(B24:B26)</f>
        <v>24764</v>
      </c>
      <c r="C27" s="19"/>
      <c r="D27" s="36" t="s">
        <v>166</v>
      </c>
      <c r="E27" s="37">
        <f>D25*E25*E26/1000</f>
        <v>33930</v>
      </c>
      <c r="F27" s="19"/>
      <c r="G27" s="19" t="s">
        <v>200</v>
      </c>
      <c r="H27" s="19" t="s">
        <v>201</v>
      </c>
      <c r="I27" s="19" t="s">
        <v>202</v>
      </c>
      <c r="J27" s="25">
        <f>J19*J26</f>
        <v>397033.66499999998</v>
      </c>
    </row>
    <row r="28" spans="1:11">
      <c r="A28" s="19" t="s">
        <v>203</v>
      </c>
      <c r="B28" s="19">
        <f>B30-B29</f>
        <v>14556</v>
      </c>
      <c r="C28" s="19"/>
      <c r="D28" s="19"/>
      <c r="E28" s="19"/>
      <c r="F28" s="19"/>
      <c r="G28" s="19" t="s">
        <v>204</v>
      </c>
      <c r="H28" s="19" t="s">
        <v>201</v>
      </c>
      <c r="I28" s="19" t="s">
        <v>202</v>
      </c>
      <c r="J28" s="25">
        <f>J19*J22</f>
        <v>220582.5</v>
      </c>
    </row>
    <row r="29" spans="1:11">
      <c r="A29" s="19" t="s">
        <v>205</v>
      </c>
      <c r="B29" s="25">
        <v>10208</v>
      </c>
      <c r="C29" s="19"/>
      <c r="D29" s="19"/>
      <c r="E29" s="19"/>
      <c r="F29" s="19"/>
      <c r="G29" s="19"/>
      <c r="H29" s="19"/>
      <c r="I29" s="19"/>
      <c r="J29" s="19"/>
    </row>
    <row r="30" spans="1:11">
      <c r="A30" s="19" t="s">
        <v>206</v>
      </c>
      <c r="B30" s="19">
        <f>B27</f>
        <v>24764</v>
      </c>
      <c r="C30" s="19"/>
      <c r="D30" s="19"/>
      <c r="E30" s="19"/>
      <c r="F30" s="19"/>
      <c r="G30" s="19"/>
      <c r="H30" s="19" t="s">
        <v>207</v>
      </c>
      <c r="I30" s="19"/>
      <c r="J30" s="23">
        <f>B29/J19</f>
        <v>0.11569367470220893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4"/>
  <sheetViews>
    <sheetView workbookViewId="0"/>
  </sheetViews>
  <sheetFormatPr defaultRowHeight="15"/>
  <cols>
    <col min="1" max="1" width="25.28515625" bestFit="1" customWidth="1"/>
  </cols>
  <sheetData>
    <row r="1" spans="1:9">
      <c r="A1" s="8" t="s">
        <v>127</v>
      </c>
      <c r="B1" t="s">
        <v>146</v>
      </c>
    </row>
    <row r="2" spans="1:9">
      <c r="A2" s="1" t="s">
        <v>0</v>
      </c>
      <c r="B2" s="8"/>
      <c r="D2" t="s">
        <v>2</v>
      </c>
    </row>
    <row r="3" spans="1:9">
      <c r="A3" t="s">
        <v>148</v>
      </c>
      <c r="B3" s="8">
        <v>0</v>
      </c>
      <c r="E3" t="s">
        <v>3</v>
      </c>
      <c r="F3" t="s">
        <v>4</v>
      </c>
      <c r="G3" t="s">
        <v>5</v>
      </c>
      <c r="H3" t="s">
        <v>6</v>
      </c>
      <c r="I3" t="s">
        <v>7</v>
      </c>
    </row>
    <row r="4" spans="1:9">
      <c r="A4" t="s">
        <v>149</v>
      </c>
      <c r="B4" s="9">
        <v>0.25</v>
      </c>
      <c r="D4" t="s">
        <v>3</v>
      </c>
      <c r="E4" s="2">
        <v>1</v>
      </c>
    </row>
    <row r="5" spans="1:9">
      <c r="B5" s="8"/>
      <c r="D5" t="s">
        <v>4</v>
      </c>
      <c r="E5" s="9">
        <v>0</v>
      </c>
      <c r="F5" s="2">
        <v>1</v>
      </c>
    </row>
    <row r="6" spans="1:9">
      <c r="A6" s="1" t="s">
        <v>1</v>
      </c>
      <c r="B6" s="8"/>
      <c r="D6" t="s">
        <v>5</v>
      </c>
      <c r="E6" s="9">
        <v>0</v>
      </c>
      <c r="F6" s="9">
        <v>0</v>
      </c>
      <c r="G6" s="2">
        <v>1</v>
      </c>
    </row>
    <row r="7" spans="1:9">
      <c r="A7" t="s">
        <v>150</v>
      </c>
      <c r="B7" s="8">
        <v>0</v>
      </c>
      <c r="D7" t="s">
        <v>6</v>
      </c>
      <c r="E7" s="9">
        <v>0</v>
      </c>
      <c r="F7" s="9">
        <v>0</v>
      </c>
      <c r="G7" s="9">
        <v>0</v>
      </c>
      <c r="H7" s="2">
        <v>1</v>
      </c>
    </row>
    <row r="8" spans="1:9">
      <c r="A8" t="s">
        <v>152</v>
      </c>
      <c r="B8" s="9">
        <v>0.05</v>
      </c>
      <c r="D8" t="s">
        <v>7</v>
      </c>
      <c r="E8" s="9">
        <v>0</v>
      </c>
      <c r="F8" s="9">
        <v>0</v>
      </c>
      <c r="G8" s="9">
        <v>0</v>
      </c>
      <c r="H8" s="9">
        <v>0</v>
      </c>
      <c r="I8" s="2">
        <v>1</v>
      </c>
    </row>
    <row r="9" spans="1:9">
      <c r="A9" t="s">
        <v>151</v>
      </c>
      <c r="B9" s="9">
        <v>0</v>
      </c>
    </row>
    <row r="10" spans="1:9">
      <c r="A10" s="1" t="s">
        <v>8</v>
      </c>
      <c r="B10" s="8"/>
      <c r="E10" s="8"/>
    </row>
    <row r="11" spans="1:9">
      <c r="A11" t="s">
        <v>158</v>
      </c>
      <c r="B11" s="8">
        <v>0</v>
      </c>
      <c r="D11" s="1" t="s">
        <v>12</v>
      </c>
      <c r="E11" s="8"/>
    </row>
    <row r="12" spans="1:9">
      <c r="A12" t="s">
        <v>157</v>
      </c>
      <c r="B12" s="9">
        <v>0.05</v>
      </c>
      <c r="D12" t="s">
        <v>13</v>
      </c>
      <c r="E12" s="8">
        <f>E19</f>
        <v>1000</v>
      </c>
    </row>
    <row r="13" spans="1:9">
      <c r="A13" t="s">
        <v>151</v>
      </c>
      <c r="B13" s="9">
        <v>0.1</v>
      </c>
      <c r="D13" t="s">
        <v>14</v>
      </c>
      <c r="E13" s="8">
        <f>E20</f>
        <v>50</v>
      </c>
    </row>
    <row r="14" spans="1:9">
      <c r="A14" s="1" t="s">
        <v>9</v>
      </c>
      <c r="B14" s="8"/>
      <c r="D14" t="s">
        <v>15</v>
      </c>
      <c r="E14" s="8">
        <f>E21</f>
        <v>10</v>
      </c>
    </row>
    <row r="15" spans="1:9">
      <c r="A15" t="s">
        <v>156</v>
      </c>
      <c r="B15" s="8">
        <v>0</v>
      </c>
      <c r="D15" t="s">
        <v>16</v>
      </c>
      <c r="E15" s="8">
        <f>E22</f>
        <v>1</v>
      </c>
    </row>
    <row r="16" spans="1:9">
      <c r="A16" t="s">
        <v>155</v>
      </c>
      <c r="B16" s="9">
        <v>0.05</v>
      </c>
      <c r="E16" s="8"/>
    </row>
    <row r="17" spans="1:8">
      <c r="A17" t="s">
        <v>151</v>
      </c>
      <c r="B17" s="9">
        <v>0.2</v>
      </c>
      <c r="D17" s="1" t="s">
        <v>17</v>
      </c>
      <c r="E17" s="8"/>
    </row>
    <row r="18" spans="1:8">
      <c r="A18" s="1" t="s">
        <v>10</v>
      </c>
      <c r="B18" s="8"/>
      <c r="D18" t="s">
        <v>3</v>
      </c>
      <c r="E18" s="8">
        <v>100</v>
      </c>
    </row>
    <row r="19" spans="1:8">
      <c r="A19" t="s">
        <v>154</v>
      </c>
      <c r="B19" s="8">
        <v>0</v>
      </c>
      <c r="D19" t="s">
        <v>4</v>
      </c>
      <c r="E19" s="8">
        <v>1000</v>
      </c>
      <c r="G19" s="5"/>
    </row>
    <row r="20" spans="1:8">
      <c r="A20" t="s">
        <v>153</v>
      </c>
      <c r="B20" s="9">
        <v>0.05</v>
      </c>
      <c r="D20" t="s">
        <v>5</v>
      </c>
      <c r="E20" s="8">
        <v>50</v>
      </c>
    </row>
    <row r="21" spans="1:8">
      <c r="A21" t="s">
        <v>151</v>
      </c>
      <c r="B21" s="9">
        <v>0.4</v>
      </c>
      <c r="D21" t="s">
        <v>6</v>
      </c>
      <c r="E21" s="8">
        <v>10</v>
      </c>
    </row>
    <row r="22" spans="1:8">
      <c r="A22" t="s">
        <v>11</v>
      </c>
      <c r="B22" s="9">
        <v>0.06</v>
      </c>
      <c r="D22" t="s">
        <v>7</v>
      </c>
      <c r="E22" s="8">
        <v>1</v>
      </c>
    </row>
    <row r="23" spans="1:8">
      <c r="B23" s="8"/>
    </row>
    <row r="25" spans="1:8">
      <c r="A25" s="1" t="s">
        <v>18</v>
      </c>
    </row>
    <row r="27" spans="1:8">
      <c r="A27" t="s">
        <v>19</v>
      </c>
    </row>
    <row r="28" spans="1:8">
      <c r="B28" t="s">
        <v>3</v>
      </c>
      <c r="C28" t="s">
        <v>4</v>
      </c>
      <c r="D28" t="s">
        <v>5</v>
      </c>
      <c r="E28" t="s">
        <v>6</v>
      </c>
      <c r="F28" t="s">
        <v>7</v>
      </c>
      <c r="H28" t="s">
        <v>20</v>
      </c>
    </row>
    <row r="29" spans="1:8">
      <c r="A29" t="s">
        <v>3</v>
      </c>
      <c r="B29" s="2">
        <f>E4</f>
        <v>1</v>
      </c>
      <c r="C29" s="2">
        <f>B30</f>
        <v>0</v>
      </c>
      <c r="D29" s="2">
        <f>B31</f>
        <v>0</v>
      </c>
      <c r="E29" s="2">
        <f>B32</f>
        <v>0</v>
      </c>
      <c r="F29" s="2">
        <f>B33</f>
        <v>0</v>
      </c>
      <c r="H29" s="2">
        <f>B35</f>
        <v>0.25</v>
      </c>
    </row>
    <row r="30" spans="1:8">
      <c r="A30" t="s">
        <v>4</v>
      </c>
      <c r="B30" s="2">
        <f>E5</f>
        <v>0</v>
      </c>
      <c r="C30" s="2">
        <f>F5</f>
        <v>1</v>
      </c>
      <c r="D30" s="2">
        <f>C31</f>
        <v>0</v>
      </c>
      <c r="E30" s="2">
        <f>C32</f>
        <v>0</v>
      </c>
      <c r="F30" s="2">
        <f>C33</f>
        <v>0</v>
      </c>
      <c r="H30" s="2">
        <f>C35</f>
        <v>0.05</v>
      </c>
    </row>
    <row r="31" spans="1:8">
      <c r="A31" t="s">
        <v>5</v>
      </c>
      <c r="B31" s="2">
        <f>E6</f>
        <v>0</v>
      </c>
      <c r="C31" s="2">
        <f>F6</f>
        <v>0</v>
      </c>
      <c r="D31" s="2">
        <f>G6</f>
        <v>1</v>
      </c>
      <c r="E31" s="2">
        <f>D32</f>
        <v>0</v>
      </c>
      <c r="F31" s="2">
        <f>D33</f>
        <v>0</v>
      </c>
      <c r="H31" s="2">
        <f>D35</f>
        <v>0.05</v>
      </c>
    </row>
    <row r="32" spans="1:8">
      <c r="A32" t="s">
        <v>6</v>
      </c>
      <c r="B32" s="2">
        <f>E7</f>
        <v>0</v>
      </c>
      <c r="C32" s="2">
        <f>F7</f>
        <v>0</v>
      </c>
      <c r="D32" s="2">
        <f>G7</f>
        <v>0</v>
      </c>
      <c r="E32" s="2">
        <f>H7</f>
        <v>1</v>
      </c>
      <c r="F32" s="2">
        <f>E33</f>
        <v>0</v>
      </c>
      <c r="H32" s="2">
        <f>E35</f>
        <v>0.05</v>
      </c>
    </row>
    <row r="33" spans="1:8">
      <c r="A33" t="s">
        <v>7</v>
      </c>
      <c r="B33" s="2">
        <f>E8</f>
        <v>0</v>
      </c>
      <c r="C33" s="2">
        <f>F8</f>
        <v>0</v>
      </c>
      <c r="D33" s="2">
        <f>G8</f>
        <v>0</v>
      </c>
      <c r="E33" s="2">
        <f>H8</f>
        <v>0</v>
      </c>
      <c r="F33" s="2">
        <f>I8</f>
        <v>1</v>
      </c>
      <c r="H33" s="2">
        <f>F35</f>
        <v>0.05</v>
      </c>
    </row>
    <row r="35" spans="1:8">
      <c r="A35" t="s">
        <v>20</v>
      </c>
      <c r="B35" s="2">
        <f>B4</f>
        <v>0.25</v>
      </c>
      <c r="C35" s="2">
        <f>B8</f>
        <v>0.05</v>
      </c>
      <c r="D35" s="2">
        <f>B12</f>
        <v>0.05</v>
      </c>
      <c r="E35" s="2">
        <f>B16</f>
        <v>0.05</v>
      </c>
      <c r="F35" s="2">
        <f>B20</f>
        <v>0.05</v>
      </c>
    </row>
    <row r="36" spans="1:8">
      <c r="A36" t="s">
        <v>21</v>
      </c>
    </row>
    <row r="37" spans="1:8">
      <c r="A37" t="s">
        <v>3</v>
      </c>
      <c r="B37" s="3">
        <f>B29*B$35*$H29</f>
        <v>6.25E-2</v>
      </c>
      <c r="C37" s="3">
        <f>C29*C$35*$H29</f>
        <v>0</v>
      </c>
      <c r="D37" s="3">
        <f>D29*D$35*$H29</f>
        <v>0</v>
      </c>
      <c r="E37" s="3">
        <f>E29*E$35*$H29</f>
        <v>0</v>
      </c>
      <c r="F37" s="3">
        <f>F29*F$35*$H29</f>
        <v>0</v>
      </c>
    </row>
    <row r="38" spans="1:8">
      <c r="A38" t="s">
        <v>4</v>
      </c>
      <c r="B38" s="3">
        <f>E5*B$35*$H30</f>
        <v>0</v>
      </c>
      <c r="C38" s="3">
        <f>C30*C$35*$H30</f>
        <v>2.5000000000000005E-3</v>
      </c>
      <c r="D38" s="3">
        <f>D30*D$35*$H30</f>
        <v>0</v>
      </c>
      <c r="E38" s="3">
        <f>E30*E$35*$H30</f>
        <v>0</v>
      </c>
      <c r="F38" s="3">
        <f>F30*F$35*$H30</f>
        <v>0</v>
      </c>
    </row>
    <row r="39" spans="1:8">
      <c r="A39" t="s">
        <v>5</v>
      </c>
      <c r="B39" s="3">
        <f>E6*B$35*$H31</f>
        <v>0</v>
      </c>
      <c r="C39" s="3">
        <f>F6*C$35*$H31</f>
        <v>0</v>
      </c>
      <c r="D39" s="3">
        <f>D31*D$35*$H31</f>
        <v>2.5000000000000005E-3</v>
      </c>
      <c r="E39" s="3">
        <f>E31*E$35*$H31</f>
        <v>0</v>
      </c>
      <c r="F39" s="3">
        <f>F31*F$35*$H31</f>
        <v>0</v>
      </c>
    </row>
    <row r="40" spans="1:8">
      <c r="A40" t="s">
        <v>6</v>
      </c>
      <c r="B40" s="3">
        <f>E7*B$35*$H32</f>
        <v>0</v>
      </c>
      <c r="C40" s="3">
        <f>F7*C$35*$H32</f>
        <v>0</v>
      </c>
      <c r="D40" s="3">
        <f>G7*D$35*$H32</f>
        <v>0</v>
      </c>
      <c r="E40" s="3">
        <f>E32*E$35*$H32</f>
        <v>2.5000000000000005E-3</v>
      </c>
      <c r="F40" s="3">
        <f>F32*F$35*$H32</f>
        <v>0</v>
      </c>
    </row>
    <row r="41" spans="1:8">
      <c r="A41" t="s">
        <v>7</v>
      </c>
      <c r="B41" s="3">
        <f>E8*B$35*$H33</f>
        <v>0</v>
      </c>
      <c r="C41" s="3">
        <f>F8*C$35*$H33</f>
        <v>0</v>
      </c>
      <c r="D41" s="3">
        <f>G8*D$35*$H33</f>
        <v>0</v>
      </c>
      <c r="E41" s="3">
        <f>H8*E$35*$H33</f>
        <v>0</v>
      </c>
      <c r="F41" s="3">
        <f>F33*F$35*$H33</f>
        <v>2.5000000000000005E-3</v>
      </c>
    </row>
    <row r="43" spans="1:8">
      <c r="A43" s="1" t="s">
        <v>22</v>
      </c>
    </row>
    <row r="44" spans="1:8">
      <c r="A44" s="4" t="s">
        <v>1</v>
      </c>
    </row>
    <row r="45" spans="1:8">
      <c r="A45" t="s">
        <v>23</v>
      </c>
      <c r="B45">
        <v>1</v>
      </c>
      <c r="C45" t="s">
        <v>24</v>
      </c>
    </row>
    <row r="46" spans="1:8">
      <c r="B46">
        <v>-1</v>
      </c>
    </row>
    <row r="48" spans="1:8">
      <c r="A48" t="s">
        <v>25</v>
      </c>
      <c r="B48">
        <f t="array" ref="B48:C48">TRANSPOSE(B45:B46)</f>
        <v>1</v>
      </c>
      <c r="C48">
        <v>-1</v>
      </c>
    </row>
    <row r="50" spans="1:5">
      <c r="A50" t="s">
        <v>26</v>
      </c>
      <c r="B50" s="5">
        <f t="array" ref="B50:B51">MMULT(B37:C38,B45:B46)</f>
        <v>6.25E-2</v>
      </c>
    </row>
    <row r="51" spans="1:5">
      <c r="B51" s="5">
        <v>-2.5000000000000005E-3</v>
      </c>
    </row>
    <row r="52" spans="1:5">
      <c r="B52" s="5"/>
    </row>
    <row r="53" spans="1:5">
      <c r="A53" t="s">
        <v>27</v>
      </c>
      <c r="B53" s="5">
        <f>MMULT(B48:C48,B50:B51)</f>
        <v>6.5000000000000002E-2</v>
      </c>
      <c r="D53" s="5"/>
    </row>
    <row r="54" spans="1:5">
      <c r="A54" t="s">
        <v>28</v>
      </c>
      <c r="B54" s="5">
        <f>SQRT(B53)</f>
        <v>0.25495097567963926</v>
      </c>
      <c r="D54" s="5"/>
    </row>
    <row r="56" spans="1:5">
      <c r="A56" t="s">
        <v>29</v>
      </c>
      <c r="B56">
        <f>B3-B7</f>
        <v>0</v>
      </c>
    </row>
    <row r="57" spans="1:5">
      <c r="A57" t="s">
        <v>30</v>
      </c>
      <c r="B57" s="2">
        <f>B22+B9-B7</f>
        <v>0.06</v>
      </c>
      <c r="D57" s="2"/>
    </row>
    <row r="58" spans="1:5">
      <c r="A58" t="s">
        <v>31</v>
      </c>
      <c r="B58" s="3">
        <f>0.5-B56/B53</f>
        <v>0.5</v>
      </c>
      <c r="D58" s="5"/>
    </row>
    <row r="59" spans="1:5">
      <c r="A59" t="s">
        <v>32</v>
      </c>
      <c r="B59" s="3">
        <f>B58^2+2*B57/B53</f>
        <v>2.0961538461538458</v>
      </c>
      <c r="D59" s="5" t="s">
        <v>33</v>
      </c>
      <c r="E59" t="s">
        <v>34</v>
      </c>
    </row>
    <row r="60" spans="1:5">
      <c r="A60" t="s">
        <v>35</v>
      </c>
      <c r="B60" s="3">
        <f>B58+SQRT(B59)</f>
        <v>1.9478100172860546</v>
      </c>
      <c r="D60" s="3">
        <f>B60</f>
        <v>1.9478100172860546</v>
      </c>
      <c r="E60" s="3">
        <f>1-D60</f>
        <v>-0.94781001728605463</v>
      </c>
    </row>
    <row r="61" spans="1:5">
      <c r="A61" t="s">
        <v>36</v>
      </c>
      <c r="B61" s="3">
        <f>B60/(B60-1)</f>
        <v>2.0550637593632799</v>
      </c>
      <c r="D61" s="5"/>
    </row>
    <row r="63" spans="1:5">
      <c r="A63" t="s">
        <v>37</v>
      </c>
      <c r="B63">
        <f>B61*E12</f>
        <v>2055.06375936328</v>
      </c>
    </row>
    <row r="64" spans="1:5">
      <c r="A64" t="s">
        <v>38</v>
      </c>
      <c r="B64">
        <f>((B60-1)^(B60-1))/(B60^B60)</f>
        <v>0.25939073000696106</v>
      </c>
    </row>
    <row r="65" spans="1:4">
      <c r="A65" t="s">
        <v>39</v>
      </c>
      <c r="B65">
        <f>B60/(B60-1)</f>
        <v>2.0550637593632799</v>
      </c>
    </row>
    <row r="66" spans="1:4">
      <c r="A66" t="s">
        <v>40</v>
      </c>
      <c r="B66">
        <f>B64*(E18^D60)*(E19^E60)</f>
        <v>2.925125030290455</v>
      </c>
      <c r="C66" t="s">
        <v>143</v>
      </c>
    </row>
    <row r="67" spans="1:4">
      <c r="A67" t="s">
        <v>41</v>
      </c>
      <c r="B67">
        <f>IF(E18&lt;B63,B66,E18-E19)</f>
        <v>2.925125030290455</v>
      </c>
      <c r="C67" t="s">
        <v>144</v>
      </c>
    </row>
    <row r="69" spans="1:4">
      <c r="A69" s="4" t="s">
        <v>8</v>
      </c>
    </row>
    <row r="70" spans="1:4">
      <c r="A70" t="s">
        <v>23</v>
      </c>
      <c r="B70" s="5">
        <f>B60</f>
        <v>1.9478100172860546</v>
      </c>
      <c r="C70" t="s">
        <v>42</v>
      </c>
    </row>
    <row r="71" spans="1:4">
      <c r="B71" s="5">
        <f>1-B60</f>
        <v>-0.94781001728605463</v>
      </c>
    </row>
    <row r="72" spans="1:4">
      <c r="B72" s="5">
        <v>-1</v>
      </c>
    </row>
    <row r="74" spans="1:4">
      <c r="A74" t="s">
        <v>43</v>
      </c>
      <c r="B74" s="5">
        <f t="array" ref="B74:D74">TRANSPOSE(B70:B72)</f>
        <v>1.9478100172860546</v>
      </c>
      <c r="C74" s="5">
        <v>-0.94781001728605463</v>
      </c>
      <c r="D74" s="5">
        <v>-1</v>
      </c>
    </row>
    <row r="76" spans="1:4">
      <c r="A76" t="s">
        <v>26</v>
      </c>
      <c r="B76" s="5">
        <f t="array" ref="B76:B78">MMULT(B37:D39,B70:B72)</f>
        <v>0.12173812608037841</v>
      </c>
    </row>
    <row r="77" spans="1:4">
      <c r="B77" s="5">
        <v>-2.3695250432151371E-3</v>
      </c>
    </row>
    <row r="78" spans="1:4">
      <c r="B78" s="5">
        <v>-2.5000000000000005E-3</v>
      </c>
    </row>
    <row r="80" spans="1:4">
      <c r="A80" t="s">
        <v>44</v>
      </c>
      <c r="B80" s="5">
        <f>MMULT(B74:D74,B76:B78)</f>
        <v>0.24186860103716323</v>
      </c>
    </row>
    <row r="81" spans="1:6">
      <c r="A81" t="s">
        <v>45</v>
      </c>
      <c r="B81" s="5">
        <f>SQRT(B80)</f>
        <v>0.49180138372839421</v>
      </c>
    </row>
    <row r="83" spans="1:6">
      <c r="A83" t="s">
        <v>46</v>
      </c>
      <c r="B83" s="2">
        <f>B22+B9-B11</f>
        <v>0.06</v>
      </c>
    </row>
    <row r="84" spans="1:6">
      <c r="A84" t="s">
        <v>47</v>
      </c>
      <c r="B84" s="2">
        <f>B22+B13-B11</f>
        <v>0.16</v>
      </c>
    </row>
    <row r="85" spans="1:6">
      <c r="A85" t="s">
        <v>31</v>
      </c>
      <c r="B85" s="5">
        <f>0.5-B83/B80</f>
        <v>0.25193142167808313</v>
      </c>
    </row>
    <row r="86" spans="1:6">
      <c r="A86" t="s">
        <v>32</v>
      </c>
      <c r="B86" s="5">
        <f>B85^2+2*B84/B80</f>
        <v>1.3865018589456304</v>
      </c>
      <c r="D86" t="s">
        <v>48</v>
      </c>
      <c r="E86" t="s">
        <v>49</v>
      </c>
      <c r="F86" t="s">
        <v>50</v>
      </c>
    </row>
    <row r="87" spans="1:6">
      <c r="A87" t="s">
        <v>51</v>
      </c>
      <c r="B87" s="3">
        <f>B85+SQRT(B86)</f>
        <v>1.4294295571099958</v>
      </c>
      <c r="D87">
        <f>B87*D60</f>
        <v>2.7842572103436183</v>
      </c>
      <c r="E87">
        <f>B87*E60</f>
        <v>-1.3548276532336225</v>
      </c>
      <c r="F87" s="5">
        <f>1-B87</f>
        <v>-0.42942955710999575</v>
      </c>
    </row>
    <row r="88" spans="1:6">
      <c r="A88" t="s">
        <v>52</v>
      </c>
      <c r="B88" s="3">
        <f>1-B87</f>
        <v>-0.42942955710999575</v>
      </c>
      <c r="F88" s="5"/>
    </row>
    <row r="89" spans="1:6">
      <c r="A89" t="s">
        <v>53</v>
      </c>
      <c r="B89" s="3">
        <f>((B87-1)^(B87-1))/(B87^B87)</f>
        <v>0.41740602443012076</v>
      </c>
      <c r="F89" s="5"/>
    </row>
    <row r="90" spans="1:6">
      <c r="B90" s="5"/>
      <c r="D90" t="s">
        <v>54</v>
      </c>
      <c r="E90" t="s">
        <v>55</v>
      </c>
      <c r="F90" t="s">
        <v>56</v>
      </c>
    </row>
    <row r="91" spans="1:6">
      <c r="A91" t="s">
        <v>57</v>
      </c>
      <c r="B91">
        <f>B93*(E12^E91)*(E13^F91)</f>
        <v>796.2718939269904</v>
      </c>
      <c r="D91" s="3">
        <f>1/D60</f>
        <v>0.51339709269661304</v>
      </c>
      <c r="E91" s="3">
        <f>-E60/D60</f>
        <v>0.48660290730338696</v>
      </c>
      <c r="F91" s="3">
        <f>1/D60</f>
        <v>0.51339709269661304</v>
      </c>
    </row>
    <row r="92" spans="1:6">
      <c r="A92" t="s">
        <v>58</v>
      </c>
      <c r="B92">
        <f>B89*B64^B87</f>
        <v>6.0652385127555379E-2</v>
      </c>
      <c r="D92" s="5"/>
    </row>
    <row r="93" spans="1:6">
      <c r="A93" t="s">
        <v>59</v>
      </c>
      <c r="B93">
        <f>(B87/(B64*(B87-1)))^D91</f>
        <v>3.7068618775116251</v>
      </c>
      <c r="D93" s="5"/>
    </row>
    <row r="94" spans="1:6">
      <c r="A94" t="s">
        <v>60</v>
      </c>
      <c r="B94">
        <f>B92*(E18^D87)*(E19^E87)*(E20^F87)</f>
        <v>0.36082066987072609</v>
      </c>
    </row>
    <row r="95" spans="1:6">
      <c r="A95" t="s">
        <v>61</v>
      </c>
      <c r="B95">
        <f>B89*(B66^B87)*(E20^B88)</f>
        <v>0.36082066987072559</v>
      </c>
      <c r="D95" t="s">
        <v>142</v>
      </c>
    </row>
    <row r="97" spans="1:3">
      <c r="B97">
        <f>B65*(B87/(B64*(B87-1)))^F91</f>
        <v>7.617837505439466</v>
      </c>
    </row>
    <row r="98" spans="1:3">
      <c r="A98" t="s">
        <v>62</v>
      </c>
      <c r="B98">
        <f>B91/E13</f>
        <v>15.925437878539809</v>
      </c>
    </row>
    <row r="100" spans="1:3">
      <c r="A100" t="s">
        <v>63</v>
      </c>
      <c r="B100">
        <f>B67</f>
        <v>2.925125030290455</v>
      </c>
    </row>
    <row r="102" spans="1:3">
      <c r="A102" t="s">
        <v>64</v>
      </c>
      <c r="B102">
        <f>IF(E18&lt;B91,B95,B100-E20)</f>
        <v>0.36082066987072559</v>
      </c>
      <c r="C102" t="s">
        <v>145</v>
      </c>
    </row>
    <row r="104" spans="1:3">
      <c r="A104" t="s">
        <v>111</v>
      </c>
    </row>
    <row r="105" spans="1:3">
      <c r="A105" t="s">
        <v>112</v>
      </c>
      <c r="B105">
        <f>B91/B63</f>
        <v>0.38746821858884767</v>
      </c>
    </row>
    <row r="107" spans="1:3">
      <c r="A107" t="s">
        <v>113</v>
      </c>
      <c r="B107">
        <f>B87*(B60-1)/(B87-1)</f>
        <v>3.1549473733280817</v>
      </c>
      <c r="C107" t="s">
        <v>147</v>
      </c>
    </row>
    <row r="108" spans="1:3">
      <c r="A108" t="s">
        <v>114</v>
      </c>
      <c r="B108">
        <f>(B107*E13/E12)^(1/B60)</f>
        <v>0.38746821858884767</v>
      </c>
    </row>
    <row r="109" spans="1:3">
      <c r="A109" s="4" t="s">
        <v>9</v>
      </c>
    </row>
    <row r="110" spans="1:3">
      <c r="A110" t="s">
        <v>23</v>
      </c>
      <c r="B110" s="5">
        <f>B60*B87</f>
        <v>2.7842572103436183</v>
      </c>
      <c r="C110" t="s">
        <v>65</v>
      </c>
    </row>
    <row r="111" spans="1:3">
      <c r="B111" s="5">
        <f>B87*(1-B60)</f>
        <v>-1.3548276532336225</v>
      </c>
    </row>
    <row r="112" spans="1:3">
      <c r="B112" s="5">
        <f>1-B87</f>
        <v>-0.42942955710999575</v>
      </c>
    </row>
    <row r="113" spans="1:7">
      <c r="B113" s="5">
        <v>-1</v>
      </c>
    </row>
    <row r="115" spans="1:7">
      <c r="A115" t="s">
        <v>43</v>
      </c>
      <c r="B115" s="5">
        <f t="array" ref="B115:E115">TRANSPOSE(B110:B113)</f>
        <v>2.7842572103436183</v>
      </c>
      <c r="C115" s="5">
        <v>-1.3548276532336225</v>
      </c>
      <c r="D115" s="5">
        <v>-0.42942955710999575</v>
      </c>
      <c r="E115" s="5">
        <v>-1</v>
      </c>
    </row>
    <row r="117" spans="1:7">
      <c r="A117" t="s">
        <v>26</v>
      </c>
      <c r="B117" s="5">
        <f t="array" ref="B117:B120">MMULT(B37:E40,B110:B113)</f>
        <v>0.17401607564647614</v>
      </c>
    </row>
    <row r="118" spans="1:7">
      <c r="B118" s="5">
        <v>-3.3870691330840572E-3</v>
      </c>
    </row>
    <row r="119" spans="1:7">
      <c r="B119" s="5">
        <v>-1.0735738927749895E-3</v>
      </c>
    </row>
    <row r="120" spans="1:7">
      <c r="B120" s="5">
        <v>-2.5000000000000005E-3</v>
      </c>
    </row>
    <row r="122" spans="1:7">
      <c r="A122" t="s">
        <v>66</v>
      </c>
      <c r="B122" s="5">
        <f>MMULT(B115:E115,B117:B120)</f>
        <v>0.49205543262061729</v>
      </c>
    </row>
    <row r="123" spans="1:7">
      <c r="A123" t="s">
        <v>67</v>
      </c>
      <c r="B123" s="5">
        <f>SQRT(B122)</f>
        <v>0.70146662972704366</v>
      </c>
    </row>
    <row r="125" spans="1:7">
      <c r="A125" t="s">
        <v>68</v>
      </c>
      <c r="B125" s="2">
        <f>B22+B13-B15</f>
        <v>0.16</v>
      </c>
    </row>
    <row r="126" spans="1:7">
      <c r="A126" t="s">
        <v>69</v>
      </c>
      <c r="B126" s="2">
        <f>B22+B17-B15</f>
        <v>0.26</v>
      </c>
    </row>
    <row r="127" spans="1:7">
      <c r="A127" t="s">
        <v>31</v>
      </c>
      <c r="B127" s="5">
        <f>0.5-B125/B122</f>
        <v>0.17483338381640712</v>
      </c>
    </row>
    <row r="128" spans="1:7">
      <c r="A128" t="s">
        <v>32</v>
      </c>
      <c r="B128" s="5">
        <f>B127^2+2*B126/B122</f>
        <v>1.0873582146933718</v>
      </c>
      <c r="D128" t="s">
        <v>70</v>
      </c>
      <c r="E128" t="s">
        <v>71</v>
      </c>
      <c r="F128" t="s">
        <v>72</v>
      </c>
      <c r="G128" t="s">
        <v>73</v>
      </c>
    </row>
    <row r="129" spans="1:11">
      <c r="A129" t="s">
        <v>74</v>
      </c>
      <c r="B129" s="5">
        <f>B127+SQRT(B128)</f>
        <v>1.2175980814799652</v>
      </c>
      <c r="D129">
        <f>B129*D87</f>
        <v>3.3901062376611493</v>
      </c>
      <c r="E129">
        <f>B129*E87</f>
        <v>-1.6496355513132623</v>
      </c>
      <c r="F129">
        <f>B129*F87</f>
        <v>-0.52287260486792198</v>
      </c>
      <c r="G129" s="5">
        <f>1-B129</f>
        <v>-0.21759808147996518</v>
      </c>
    </row>
    <row r="130" spans="1:11">
      <c r="A130" t="s">
        <v>75</v>
      </c>
      <c r="B130" s="5">
        <f>1-B129</f>
        <v>-0.21759808147996518</v>
      </c>
      <c r="G130" s="5"/>
    </row>
    <row r="131" spans="1:11">
      <c r="A131" t="s">
        <v>76</v>
      </c>
      <c r="B131" s="3">
        <f>((B129-1)^(B129-1))/(B129^B129)</f>
        <v>0.56463209456034513</v>
      </c>
      <c r="D131" s="5"/>
    </row>
    <row r="132" spans="1:11">
      <c r="B132" s="3"/>
      <c r="D132" t="s">
        <v>77</v>
      </c>
      <c r="E132" t="s">
        <v>78</v>
      </c>
      <c r="F132" t="s">
        <v>79</v>
      </c>
      <c r="G132" t="s">
        <v>80</v>
      </c>
    </row>
    <row r="133" spans="1:11">
      <c r="A133" t="s">
        <v>81</v>
      </c>
      <c r="B133">
        <f>B135*(E12^E133)*(E13^F133)*(E14^G133)</f>
        <v>612.01982263623688</v>
      </c>
      <c r="D133" s="5">
        <f>1/D87</f>
        <v>0.35916221974211404</v>
      </c>
      <c r="E133">
        <f>-E87/D87</f>
        <v>0.48660290730338701</v>
      </c>
      <c r="F133">
        <f>-F87/D87</f>
        <v>0.154234872954499</v>
      </c>
      <c r="G133">
        <f>1/D87</f>
        <v>0.35916221974211404</v>
      </c>
      <c r="K133" s="6"/>
    </row>
    <row r="134" spans="1:11">
      <c r="A134" t="s">
        <v>82</v>
      </c>
      <c r="B134" s="3">
        <f>B131*B92^B129</f>
        <v>1.8610733025756283E-2</v>
      </c>
      <c r="D134" s="5"/>
    </row>
    <row r="135" spans="1:11">
      <c r="A135" t="s">
        <v>83</v>
      </c>
      <c r="B135" s="3">
        <f>(B129/(B92*(B129-1)))^D133</f>
        <v>5.0787182961103472</v>
      </c>
      <c r="D135" s="5"/>
    </row>
    <row r="136" spans="1:11">
      <c r="B136" s="3"/>
      <c r="D136" s="5"/>
    </row>
    <row r="137" spans="1:11">
      <c r="A137" t="s">
        <v>60</v>
      </c>
      <c r="B137" s="6">
        <f>B134*(E18^D129)*(E19^E129)*(E20^F129)*(E21^G129)</f>
        <v>9.8884073166297479E-2</v>
      </c>
      <c r="D137" s="5"/>
    </row>
    <row r="138" spans="1:11">
      <c r="A138" t="s">
        <v>61</v>
      </c>
      <c r="B138" s="6">
        <f>B131*(B95^B129)*(E21^B130)</f>
        <v>9.8884073166297534E-2</v>
      </c>
      <c r="D138" s="5"/>
    </row>
    <row r="139" spans="1:11">
      <c r="B139" s="3"/>
      <c r="D139" s="5"/>
    </row>
    <row r="140" spans="1:11">
      <c r="A140" t="s">
        <v>84</v>
      </c>
      <c r="B140">
        <f>B133/E14</f>
        <v>61.201982263623691</v>
      </c>
    </row>
    <row r="142" spans="1:11">
      <c r="A142" t="s">
        <v>85</v>
      </c>
      <c r="B142" s="5">
        <f>B102</f>
        <v>0.36082066987072559</v>
      </c>
    </row>
    <row r="143" spans="1:11">
      <c r="A143" t="s">
        <v>86</v>
      </c>
      <c r="B143" s="5">
        <f>IF(E18&lt;B133,B138,B142-E21)</f>
        <v>9.8884073166297534E-2</v>
      </c>
    </row>
    <row r="145" spans="1:6">
      <c r="A145" t="s">
        <v>115</v>
      </c>
    </row>
    <row r="146" spans="1:6">
      <c r="A146" t="s">
        <v>116</v>
      </c>
      <c r="B146">
        <f>B133/B91</f>
        <v>0.76860658690077099</v>
      </c>
    </row>
    <row r="148" spans="1:6">
      <c r="A148" t="s">
        <v>113</v>
      </c>
      <c r="B148">
        <f>B129*(B87-1)/(B129-1)</f>
        <v>2.4029283774547627</v>
      </c>
    </row>
    <row r="149" spans="1:6">
      <c r="A149" t="s">
        <v>114</v>
      </c>
      <c r="B149">
        <f>(B148*E14/E13)^(1/(B60*B87))</f>
        <v>0.76860658690077055</v>
      </c>
    </row>
    <row r="150" spans="1:6">
      <c r="A150" s="4" t="s">
        <v>10</v>
      </c>
    </row>
    <row r="151" spans="1:6">
      <c r="A151" t="s">
        <v>23</v>
      </c>
      <c r="B151" s="5">
        <f>B60*B87*B129</f>
        <v>3.3901062376611493</v>
      </c>
      <c r="C151" t="s">
        <v>87</v>
      </c>
    </row>
    <row r="152" spans="1:6">
      <c r="B152" s="5">
        <f>B129*B87*(1-B60)</f>
        <v>-1.6496355513132623</v>
      </c>
    </row>
    <row r="153" spans="1:6">
      <c r="B153" s="5">
        <f>B129*(1-B87)</f>
        <v>-0.52287260486792198</v>
      </c>
    </row>
    <row r="154" spans="1:6">
      <c r="B154" s="5">
        <f>1-B129</f>
        <v>-0.21759808147996518</v>
      </c>
    </row>
    <row r="155" spans="1:6">
      <c r="B155" s="5">
        <v>-1</v>
      </c>
    </row>
    <row r="157" spans="1:6">
      <c r="A157" t="s">
        <v>43</v>
      </c>
      <c r="B157" s="5">
        <f t="array" ref="B157:F157">TRANSPOSE(B151:B155)</f>
        <v>3.3901062376611493</v>
      </c>
      <c r="C157" s="5">
        <v>-1.6496355513132623</v>
      </c>
      <c r="D157" s="5">
        <v>-0.52287260486792198</v>
      </c>
      <c r="E157" s="5">
        <v>-0.21759808147996518</v>
      </c>
      <c r="F157" s="5">
        <v>-1</v>
      </c>
    </row>
    <row r="159" spans="1:6">
      <c r="A159" t="s">
        <v>26</v>
      </c>
      <c r="B159" s="5">
        <f t="array" ref="B159:B163">MMULT(B37:F41,B151:B155)</f>
        <v>0.21188163985382183</v>
      </c>
    </row>
    <row r="160" spans="1:6">
      <c r="B160" s="5">
        <v>-4.1240888782831569E-3</v>
      </c>
    </row>
    <row r="161" spans="1:9">
      <c r="B161" s="5">
        <v>-1.3071815121698052E-3</v>
      </c>
    </row>
    <row r="162" spans="1:9">
      <c r="B162" s="5">
        <v>-5.4399520369991308E-4</v>
      </c>
    </row>
    <row r="163" spans="1:9">
      <c r="B163" s="5">
        <v>-2.5000000000000005E-3</v>
      </c>
    </row>
    <row r="165" spans="1:9">
      <c r="A165" t="s">
        <v>88</v>
      </c>
      <c r="B165" s="5">
        <f>MMULT(B157:F157,B159:B163)</f>
        <v>0.72840637425966892</v>
      </c>
    </row>
    <row r="166" spans="1:9">
      <c r="A166" t="s">
        <v>89</v>
      </c>
      <c r="B166" s="5">
        <f>SQRT(B165)</f>
        <v>0.85346726607390688</v>
      </c>
    </row>
    <row r="168" spans="1:9">
      <c r="A168" t="s">
        <v>90</v>
      </c>
      <c r="B168" s="2">
        <f>B22+B17-B19</f>
        <v>0.26</v>
      </c>
    </row>
    <row r="169" spans="1:9">
      <c r="A169" t="s">
        <v>91</v>
      </c>
      <c r="B169" s="2">
        <f>B22+B21-B19</f>
        <v>0.46</v>
      </c>
    </row>
    <row r="170" spans="1:9">
      <c r="A170" t="s">
        <v>31</v>
      </c>
      <c r="B170" s="5">
        <f>0.5-B168/B165</f>
        <v>0.14305639106431978</v>
      </c>
    </row>
    <row r="171" spans="1:9">
      <c r="A171" t="s">
        <v>32</v>
      </c>
      <c r="B171" s="5">
        <f>B170^2+2*B169/B165</f>
        <v>1.2834963626429083</v>
      </c>
      <c r="D171" t="s">
        <v>92</v>
      </c>
      <c r="E171" t="s">
        <v>93</v>
      </c>
      <c r="F171" t="s">
        <v>94</v>
      </c>
      <c r="G171" t="s">
        <v>95</v>
      </c>
      <c r="H171" t="s">
        <v>96</v>
      </c>
      <c r="I171" t="s">
        <v>137</v>
      </c>
    </row>
    <row r="172" spans="1:9">
      <c r="A172" t="s">
        <v>97</v>
      </c>
      <c r="B172" s="5">
        <f>B170+SQRT(B171)</f>
        <v>1.2759713758018809</v>
      </c>
      <c r="D172">
        <f>B172*D129</f>
        <v>4.3256785201830352</v>
      </c>
      <c r="E172">
        <f>B172*E129</f>
        <v>-2.1048877439808775</v>
      </c>
      <c r="F172">
        <f>B172*F129</f>
        <v>-0.6671704770024357</v>
      </c>
      <c r="G172">
        <f>B172*G129</f>
        <v>-0.27764892339784097</v>
      </c>
      <c r="H172" s="5">
        <f>1-B172</f>
        <v>-0.27597137580188091</v>
      </c>
      <c r="I172" s="5">
        <f>SUM(D172:H172)</f>
        <v>1</v>
      </c>
    </row>
    <row r="173" spans="1:9">
      <c r="A173" t="s">
        <v>98</v>
      </c>
      <c r="B173" s="5">
        <f>1-B172</f>
        <v>-0.27597137580188091</v>
      </c>
      <c r="D173" s="5"/>
      <c r="I173" s="5"/>
    </row>
    <row r="174" spans="1:9">
      <c r="A174" t="s">
        <v>99</v>
      </c>
      <c r="B174" s="3">
        <f>((B172-1)^(B172-1))/(B172^B172)</f>
        <v>0.51362301997347137</v>
      </c>
      <c r="I174" s="5"/>
    </row>
    <row r="175" spans="1:9">
      <c r="D175" t="s">
        <v>100</v>
      </c>
      <c r="E175" t="s">
        <v>101</v>
      </c>
      <c r="F175" t="s">
        <v>102</v>
      </c>
      <c r="G175" t="s">
        <v>103</v>
      </c>
      <c r="H175" t="s">
        <v>104</v>
      </c>
      <c r="I175" s="5"/>
    </row>
    <row r="176" spans="1:9">
      <c r="A176" t="s">
        <v>105</v>
      </c>
      <c r="B176">
        <f>B178*(E12^E176)*(E13^F176)*(E14^G176)*(E15^H176)</f>
        <v>310.86071793658124</v>
      </c>
      <c r="D176" s="5">
        <f>1/D129</f>
        <v>0.29497600661916273</v>
      </c>
      <c r="E176">
        <f>-E129/D129</f>
        <v>0.48660290730338701</v>
      </c>
      <c r="F176">
        <f>-F129/D129</f>
        <v>0.154234872954499</v>
      </c>
      <c r="G176">
        <f>-G129/D129</f>
        <v>6.4186213122951322E-2</v>
      </c>
      <c r="H176">
        <f>1/D129</f>
        <v>0.29497600661916273</v>
      </c>
      <c r="I176" s="5">
        <f>SUM(E176:H176)</f>
        <v>1</v>
      </c>
    </row>
    <row r="177" spans="1:2">
      <c r="A177" t="s">
        <v>106</v>
      </c>
      <c r="B177" s="3">
        <f>B174*B134^B172</f>
        <v>3.1835538917284012E-3</v>
      </c>
    </row>
    <row r="178" spans="1:2">
      <c r="A178" t="s">
        <v>107</v>
      </c>
      <c r="B178" s="3">
        <f>(B172/(B134*(B172-1)))^D176</f>
        <v>5.0878053525586848</v>
      </c>
    </row>
    <row r="180" spans="1:2">
      <c r="A180" t="s">
        <v>60</v>
      </c>
      <c r="B180">
        <f>B177*(E18^D172)*(E19^E172)*(E20^F172)*(E21^G172)*(E22^H172)</f>
        <v>2.6819733797269946E-2</v>
      </c>
    </row>
    <row r="181" spans="1:2">
      <c r="A181" t="s">
        <v>61</v>
      </c>
      <c r="B181">
        <f>B174*(B137^B172)*(E22^B173)</f>
        <v>2.6819733797269932E-2</v>
      </c>
    </row>
    <row r="183" spans="1:2">
      <c r="A183" t="s">
        <v>84</v>
      </c>
      <c r="B183">
        <f>B176/E22</f>
        <v>310.86071793658124</v>
      </c>
    </row>
    <row r="185" spans="1:2">
      <c r="A185" t="s">
        <v>108</v>
      </c>
      <c r="B185" s="5">
        <f>B143</f>
        <v>9.8884073166297534E-2</v>
      </c>
    </row>
    <row r="186" spans="1:2">
      <c r="A186" t="s">
        <v>109</v>
      </c>
      <c r="B186" s="6">
        <f>B174*(B185^B172)*(E22^B173)</f>
        <v>2.681973379726996E-2</v>
      </c>
    </row>
    <row r="188" spans="1:2">
      <c r="A188" t="s">
        <v>110</v>
      </c>
      <c r="B188">
        <f>IF(E18&lt;B176,B186,B185-E22)</f>
        <v>2.681973379726996E-2</v>
      </c>
    </row>
    <row r="190" spans="1:2">
      <c r="A190" t="s">
        <v>117</v>
      </c>
    </row>
    <row r="191" spans="1:2">
      <c r="A191" t="s">
        <v>118</v>
      </c>
      <c r="B191">
        <f>B176/B133</f>
        <v>0.50792589788606557</v>
      </c>
    </row>
    <row r="193" spans="1:2">
      <c r="A193" t="s">
        <v>113</v>
      </c>
      <c r="B193">
        <f>B172*(B129-1)/(B172-1)</f>
        <v>1.0060787014272248</v>
      </c>
    </row>
    <row r="194" spans="1:2">
      <c r="A194" t="s">
        <v>114</v>
      </c>
      <c r="B194">
        <f>(B193*E15/E14)^(1/(B60*B87*B129))</f>
        <v>0.50792589788606568</v>
      </c>
    </row>
  </sheetData>
  <printOptions horizontalCentered="1" headings="1"/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workbookViewId="0"/>
  </sheetViews>
  <sheetFormatPr defaultRowHeight="15"/>
  <cols>
    <col min="2" max="2" width="17.7109375" bestFit="1" customWidth="1"/>
    <col min="3" max="3" width="9.28515625" bestFit="1" customWidth="1"/>
    <col min="4" max="4" width="9.5703125" bestFit="1" customWidth="1"/>
    <col min="5" max="5" width="10.7109375" bestFit="1" customWidth="1"/>
    <col min="6" max="6" width="9.28515625" bestFit="1" customWidth="1"/>
    <col min="8" max="8" width="10.5703125" bestFit="1" customWidth="1"/>
  </cols>
  <sheetData>
    <row r="1" spans="1:8">
      <c r="B1" t="s">
        <v>139</v>
      </c>
      <c r="C1" t="s">
        <v>142</v>
      </c>
    </row>
    <row r="2" spans="1:8">
      <c r="A2" t="s">
        <v>138</v>
      </c>
    </row>
    <row r="3" spans="1:8" ht="24.95" customHeight="1">
      <c r="A3" s="10" t="str">
        <f>A8</f>
        <v>Stage</v>
      </c>
      <c r="B3" s="17" t="s">
        <v>159</v>
      </c>
      <c r="C3" s="11" t="s">
        <v>141</v>
      </c>
      <c r="D3" s="10" t="str">
        <f t="shared" ref="D3:E7" si="0">C23</f>
        <v>K^</v>
      </c>
      <c r="E3" s="10" t="str">
        <f t="shared" si="0"/>
        <v>V^</v>
      </c>
      <c r="F3" s="10" t="str">
        <f>F23</f>
        <v>ROV</v>
      </c>
      <c r="G3" s="15" t="str">
        <f>B23</f>
        <v>LB</v>
      </c>
      <c r="H3" s="15" t="str">
        <f>E23</f>
        <v>K (J-1)/K(J)</v>
      </c>
    </row>
    <row r="4" spans="1:8">
      <c r="A4" s="12">
        <v>1</v>
      </c>
      <c r="B4" s="14">
        <f t="shared" ref="B4:C7" si="1">B9</f>
        <v>0.25495097567963926</v>
      </c>
      <c r="C4" s="14">
        <f t="shared" si="1"/>
        <v>1.9478100172860546</v>
      </c>
      <c r="D4" s="13">
        <f t="shared" si="0"/>
        <v>1000</v>
      </c>
      <c r="E4" s="14">
        <f t="shared" si="0"/>
        <v>2055.06375936328</v>
      </c>
      <c r="F4" s="14">
        <f>F24</f>
        <v>2.925125030290455</v>
      </c>
      <c r="G4" s="12" t="s">
        <v>142</v>
      </c>
      <c r="H4" s="12" t="s">
        <v>142</v>
      </c>
    </row>
    <row r="5" spans="1:8">
      <c r="A5" s="12">
        <v>2</v>
      </c>
      <c r="B5" s="14">
        <f t="shared" si="1"/>
        <v>0.49180138372839421</v>
      </c>
      <c r="C5" s="14">
        <f t="shared" si="1"/>
        <v>1.4294295571099958</v>
      </c>
      <c r="D5" s="13">
        <f t="shared" si="0"/>
        <v>50</v>
      </c>
      <c r="E5" s="14">
        <f t="shared" si="0"/>
        <v>796.2718939269904</v>
      </c>
      <c r="F5" s="14">
        <f>F25</f>
        <v>0.36082066987072609</v>
      </c>
      <c r="G5" s="16">
        <f t="shared" ref="G5:G7" si="2">B25</f>
        <v>3.1549473733280817</v>
      </c>
      <c r="H5" s="16">
        <f t="shared" ref="H5:H7" si="3">E25</f>
        <v>20</v>
      </c>
    </row>
    <row r="6" spans="1:8">
      <c r="A6" s="12">
        <v>3</v>
      </c>
      <c r="B6" s="14">
        <f t="shared" si="1"/>
        <v>0.70146662972704366</v>
      </c>
      <c r="C6" s="14">
        <f t="shared" si="1"/>
        <v>1.2175980814799652</v>
      </c>
      <c r="D6" s="13">
        <f t="shared" si="0"/>
        <v>10</v>
      </c>
      <c r="E6" s="14">
        <f t="shared" si="0"/>
        <v>612.01982263623688</v>
      </c>
      <c r="F6" s="14">
        <f>F26</f>
        <v>9.8884073166297479E-2</v>
      </c>
      <c r="G6" s="16">
        <f t="shared" si="2"/>
        <v>2.4029283774547627</v>
      </c>
      <c r="H6" s="16">
        <f t="shared" si="3"/>
        <v>5</v>
      </c>
    </row>
    <row r="7" spans="1:8">
      <c r="A7" s="12">
        <v>4</v>
      </c>
      <c r="B7" s="14">
        <f t="shared" si="1"/>
        <v>0.85346726607390688</v>
      </c>
      <c r="C7" s="14">
        <f t="shared" si="1"/>
        <v>1.2759713758018809</v>
      </c>
      <c r="D7" s="13">
        <f t="shared" si="0"/>
        <v>1</v>
      </c>
      <c r="E7" s="14">
        <f t="shared" si="0"/>
        <v>310.86071793658124</v>
      </c>
      <c r="F7" s="14">
        <f>F27</f>
        <v>2.6819733797269946E-2</v>
      </c>
      <c r="G7" s="16">
        <f t="shared" si="2"/>
        <v>1.0060787014272248</v>
      </c>
      <c r="H7" s="16">
        <f t="shared" si="3"/>
        <v>10</v>
      </c>
    </row>
    <row r="8" spans="1:8">
      <c r="A8" t="s">
        <v>119</v>
      </c>
      <c r="B8" t="s">
        <v>20</v>
      </c>
      <c r="C8" t="s">
        <v>120</v>
      </c>
      <c r="D8" t="s">
        <v>122</v>
      </c>
      <c r="E8" t="s">
        <v>123</v>
      </c>
    </row>
    <row r="9" spans="1:8">
      <c r="A9">
        <v>1</v>
      </c>
      <c r="B9" s="7">
        <f>Input_Calculations!B54</f>
        <v>0.25495097567963926</v>
      </c>
      <c r="C9" s="5">
        <f>Input_Calculations!B60</f>
        <v>1.9478100172860546</v>
      </c>
      <c r="D9" s="3">
        <f>Input_Calculations!B64</f>
        <v>0.25939073000696106</v>
      </c>
      <c r="E9" s="3">
        <f>Input_Calculations!B64</f>
        <v>0.25939073000696106</v>
      </c>
    </row>
    <row r="10" spans="1:8">
      <c r="A10">
        <v>2</v>
      </c>
      <c r="B10" s="7">
        <f>Input_Calculations!B81</f>
        <v>0.49180138372839421</v>
      </c>
      <c r="C10" s="5">
        <f>Input_Calculations!B87</f>
        <v>1.4294295571099958</v>
      </c>
      <c r="D10" s="3">
        <f>Input_Calculations!B89</f>
        <v>0.41740602443012076</v>
      </c>
      <c r="E10" s="3">
        <f>Input_Calculations!B92</f>
        <v>6.0652385127555379E-2</v>
      </c>
    </row>
    <row r="11" spans="1:8">
      <c r="A11">
        <v>3</v>
      </c>
      <c r="B11" s="7">
        <f>Input_Calculations!B123</f>
        <v>0.70146662972704366</v>
      </c>
      <c r="C11" s="5">
        <f>Input_Calculations!B129</f>
        <v>1.2175980814799652</v>
      </c>
      <c r="D11" s="3">
        <f>Input_Calculations!B131</f>
        <v>0.56463209456034513</v>
      </c>
      <c r="E11" s="3">
        <f>Input_Calculations!B134</f>
        <v>1.8610733025756283E-2</v>
      </c>
    </row>
    <row r="12" spans="1:8">
      <c r="A12">
        <v>4</v>
      </c>
      <c r="B12" s="7">
        <f>Input_Calculations!B166</f>
        <v>0.85346726607390688</v>
      </c>
      <c r="C12" s="5">
        <f>Input_Calculations!B172</f>
        <v>1.2759713758018809</v>
      </c>
      <c r="D12" s="3">
        <f>Input_Calculations!B174</f>
        <v>0.51362301997347137</v>
      </c>
      <c r="E12" s="3">
        <f>Input_Calculations!B177</f>
        <v>3.1835538917284012E-3</v>
      </c>
    </row>
    <row r="13" spans="1:8">
      <c r="A13" t="s">
        <v>119</v>
      </c>
      <c r="B13" t="s">
        <v>121</v>
      </c>
      <c r="C13" t="s">
        <v>128</v>
      </c>
      <c r="D13" t="s">
        <v>129</v>
      </c>
      <c r="E13" t="s">
        <v>130</v>
      </c>
      <c r="F13" t="s">
        <v>131</v>
      </c>
    </row>
    <row r="14" spans="1:8">
      <c r="A14">
        <v>1</v>
      </c>
      <c r="B14" s="5">
        <f>Input_Calculations!D60</f>
        <v>1.9478100172860546</v>
      </c>
      <c r="C14" s="5">
        <f>Input_Calculations!E60</f>
        <v>-0.94781001728605463</v>
      </c>
      <c r="D14" s="5"/>
      <c r="E14" s="5"/>
      <c r="F14" s="5"/>
    </row>
    <row r="15" spans="1:8">
      <c r="A15">
        <v>2</v>
      </c>
      <c r="B15" s="5">
        <f>Input_Calculations!D87</f>
        <v>2.7842572103436183</v>
      </c>
      <c r="C15" s="5">
        <f>Input_Calculations!E87</f>
        <v>-1.3548276532336225</v>
      </c>
      <c r="D15" s="5">
        <f>Input_Calculations!F87</f>
        <v>-0.42942955710999575</v>
      </c>
      <c r="E15" s="5"/>
      <c r="F15" s="5"/>
    </row>
    <row r="16" spans="1:8">
      <c r="A16">
        <v>3</v>
      </c>
      <c r="B16" s="5">
        <f>Input_Calculations!D129</f>
        <v>3.3901062376611493</v>
      </c>
      <c r="C16" s="5">
        <f>Input_Calculations!E129</f>
        <v>-1.6496355513132623</v>
      </c>
      <c r="D16" s="5">
        <f>Input_Calculations!F129</f>
        <v>-0.52287260486792198</v>
      </c>
      <c r="E16" s="5">
        <f>Input_Calculations!G129</f>
        <v>-0.21759808147996518</v>
      </c>
      <c r="F16" s="5"/>
    </row>
    <row r="17" spans="1:6">
      <c r="A17">
        <v>4</v>
      </c>
      <c r="B17" s="5">
        <f>Input_Calculations!D172</f>
        <v>4.3256785201830352</v>
      </c>
      <c r="C17" s="5">
        <f>Input_Calculations!E172</f>
        <v>-2.1048877439808775</v>
      </c>
      <c r="D17" s="5">
        <f>Input_Calculations!F172</f>
        <v>-0.6671704770024357</v>
      </c>
      <c r="E17" s="5">
        <f>Input_Calculations!G172</f>
        <v>-0.27764892339784097</v>
      </c>
      <c r="F17" s="5">
        <f>Input_Calculations!H172</f>
        <v>-0.27597137580188091</v>
      </c>
    </row>
    <row r="18" spans="1:6">
      <c r="A18" t="s">
        <v>119</v>
      </c>
      <c r="B18" t="s">
        <v>132</v>
      </c>
      <c r="C18" t="s">
        <v>133</v>
      </c>
      <c r="D18" t="s">
        <v>134</v>
      </c>
      <c r="E18" t="s">
        <v>135</v>
      </c>
    </row>
    <row r="19" spans="1:6">
      <c r="A19">
        <v>1</v>
      </c>
      <c r="B19" s="5">
        <v>1</v>
      </c>
      <c r="C19" s="5"/>
      <c r="D19" s="5"/>
      <c r="E19" s="5"/>
    </row>
    <row r="20" spans="1:6">
      <c r="A20">
        <v>2</v>
      </c>
      <c r="B20" s="5">
        <f>Input_Calculations!E91</f>
        <v>0.48660290730338696</v>
      </c>
      <c r="C20" s="5">
        <f>Input_Calculations!F91</f>
        <v>0.51339709269661304</v>
      </c>
      <c r="D20" s="5"/>
      <c r="E20" s="5"/>
    </row>
    <row r="21" spans="1:6">
      <c r="A21">
        <v>3</v>
      </c>
      <c r="B21" s="5">
        <f>Input_Calculations!E133</f>
        <v>0.48660290730338701</v>
      </c>
      <c r="C21" s="5">
        <f>Input_Calculations!F133</f>
        <v>0.154234872954499</v>
      </c>
      <c r="D21" s="5">
        <f>Input_Calculations!G133</f>
        <v>0.35916221974211404</v>
      </c>
      <c r="E21" s="5"/>
    </row>
    <row r="22" spans="1:6">
      <c r="A22">
        <v>4</v>
      </c>
      <c r="B22" s="5">
        <f>Input_Calculations!E176</f>
        <v>0.48660290730338701</v>
      </c>
      <c r="C22" s="5">
        <f>Input_Calculations!F176</f>
        <v>0.154234872954499</v>
      </c>
      <c r="D22" s="5">
        <f>Input_Calculations!G176</f>
        <v>6.4186213122951322E-2</v>
      </c>
      <c r="E22" s="5">
        <f>Input_Calculations!H176</f>
        <v>0.29497600661916273</v>
      </c>
    </row>
    <row r="23" spans="1:6">
      <c r="A23" t="s">
        <v>119</v>
      </c>
      <c r="B23" t="s">
        <v>124</v>
      </c>
      <c r="C23" t="s">
        <v>126</v>
      </c>
      <c r="D23" t="s">
        <v>125</v>
      </c>
      <c r="E23" t="s">
        <v>136</v>
      </c>
      <c r="F23" t="s">
        <v>140</v>
      </c>
    </row>
    <row r="24" spans="1:6">
      <c r="A24">
        <v>1</v>
      </c>
      <c r="B24" s="5"/>
      <c r="C24">
        <f>Input_Calculations!E12</f>
        <v>1000</v>
      </c>
      <c r="D24" s="6">
        <f>Input_Calculations!B63</f>
        <v>2055.06375936328</v>
      </c>
      <c r="F24" s="5">
        <f>Input_Calculations!$B$66</f>
        <v>2.925125030290455</v>
      </c>
    </row>
    <row r="25" spans="1:6">
      <c r="A25">
        <v>2</v>
      </c>
      <c r="B25" s="5">
        <f>Input_Calculations!B107</f>
        <v>3.1549473733280817</v>
      </c>
      <c r="C25">
        <f>Input_Calculations!E13</f>
        <v>50</v>
      </c>
      <c r="D25" s="6">
        <f>Input_Calculations!B91</f>
        <v>796.2718939269904</v>
      </c>
      <c r="E25" s="5">
        <f>C24/C25</f>
        <v>20</v>
      </c>
      <c r="F25" s="5">
        <f>Input_Calculations!$B$94</f>
        <v>0.36082066987072609</v>
      </c>
    </row>
    <row r="26" spans="1:6">
      <c r="A26">
        <v>3</v>
      </c>
      <c r="B26" s="5">
        <f>Input_Calculations!B148</f>
        <v>2.4029283774547627</v>
      </c>
      <c r="C26">
        <f>Input_Calculations!E14</f>
        <v>10</v>
      </c>
      <c r="D26" s="6">
        <f>Input_Calculations!B133</f>
        <v>612.01982263623688</v>
      </c>
      <c r="E26" s="5">
        <f t="shared" ref="E26:E27" si="4">C25/C26</f>
        <v>5</v>
      </c>
      <c r="F26" s="5">
        <f>Input_Calculations!$B$137</f>
        <v>9.8884073166297479E-2</v>
      </c>
    </row>
    <row r="27" spans="1:6">
      <c r="A27">
        <v>4</v>
      </c>
      <c r="B27" s="5">
        <f>Input_Calculations!B193</f>
        <v>1.0060787014272248</v>
      </c>
      <c r="C27">
        <f>Input_Calculations!E15</f>
        <v>1</v>
      </c>
      <c r="D27" s="6">
        <f>Input_Calculations!B176</f>
        <v>310.86071793658124</v>
      </c>
      <c r="E27" s="5">
        <f t="shared" si="4"/>
        <v>10</v>
      </c>
      <c r="F27" s="5">
        <f>Input_Calculations!$B$180</f>
        <v>2.6819733797269946E-2</v>
      </c>
    </row>
  </sheetData>
  <printOptions horizontalCentered="1"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StemCells</vt:lpstr>
      <vt:lpstr>Input_Calculations</vt:lpstr>
      <vt:lpstr>Output</vt:lpstr>
    </vt:vector>
  </TitlesOfParts>
  <Company>University of Bradford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radkins</dc:creator>
  <cp:lastModifiedBy>Windows User</cp:lastModifiedBy>
  <cp:lastPrinted>2013-08-12T16:25:03Z</cp:lastPrinted>
  <dcterms:created xsi:type="dcterms:W3CDTF">2013-04-15T09:59:04Z</dcterms:created>
  <dcterms:modified xsi:type="dcterms:W3CDTF">2015-10-02T18:17:23Z</dcterms:modified>
</cp:coreProperties>
</file>